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2.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drawings/drawing3.xml" ContentType="application/vnd.openxmlformats-officedocument.drawing+xml"/>
  <Override PartName="/xl/comments4.xml" ContentType="application/vnd.openxmlformats-officedocument.spreadsheetml.comments+xml"/>
  <Override PartName="/xl/threadedComments/threadedComment4.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126"/>
  <workbookPr defaultThemeVersion="166925"/>
  <mc:AlternateContent xmlns:mc="http://schemas.openxmlformats.org/markup-compatibility/2006">
    <mc:Choice Requires="x15">
      <x15ac:absPath xmlns:x15ac="http://schemas.microsoft.com/office/spreadsheetml/2010/11/ac" url="C:\Users\simb\Nextcloud\submission historic paper\SI\"/>
    </mc:Choice>
  </mc:AlternateContent>
  <xr:revisionPtr revIDLastSave="0" documentId="13_ncr:1_{5502D249-64CD-437E-9250-AC35F58390A6}" xr6:coauthVersionLast="47" xr6:coauthVersionMax="47" xr10:uidLastSave="{00000000-0000-0000-0000-000000000000}"/>
  <bookViews>
    <workbookView xWindow="-120" yWindow="-120" windowWidth="29040" windowHeight="15840" xr2:uid="{8420B936-8E22-4518-B318-74E379F21776}"/>
  </bookViews>
  <sheets>
    <sheet name="service life" sheetId="11" r:id="rId1"/>
    <sheet name="house 1860" sheetId="6" r:id="rId2"/>
    <sheet name="house 1890" sheetId="7" r:id="rId3"/>
    <sheet name="house 1920" sheetId="8" r:id="rId4"/>
    <sheet name="house 1970" sheetId="9" r:id="rId5"/>
    <sheet name="house 2010" sheetId="10" r:id="rId6"/>
  </sheets>
  <externalReferences>
    <externalReference r:id="rId7"/>
  </externalReferences>
  <definedNames>
    <definedName name="cells">#REF!</definedName>
    <definedName name="sfh">#REF!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58" i="8" l="1"/>
  <c r="D258" i="8"/>
  <c r="B258" i="8"/>
  <c r="A258" i="8"/>
  <c r="G257" i="8"/>
  <c r="D257" i="8"/>
  <c r="B257" i="8"/>
  <c r="A257" i="8"/>
  <c r="G256" i="8"/>
  <c r="A256" i="8"/>
  <c r="G254" i="8"/>
  <c r="D254" i="8"/>
  <c r="B254" i="8"/>
  <c r="A254" i="8"/>
  <c r="G253" i="8"/>
  <c r="D253" i="8"/>
  <c r="B253" i="8"/>
  <c r="A253" i="8"/>
  <c r="G252" i="8"/>
  <c r="A252" i="8"/>
  <c r="G250" i="8"/>
  <c r="B250" i="8"/>
  <c r="A250" i="8"/>
  <c r="G249" i="8"/>
  <c r="A249" i="8"/>
  <c r="G247" i="8"/>
  <c r="D247" i="8"/>
  <c r="B247" i="8"/>
  <c r="A247" i="8"/>
  <c r="G246" i="8"/>
  <c r="B246" i="8"/>
  <c r="A246" i="8"/>
  <c r="G245" i="8"/>
  <c r="A245" i="8"/>
  <c r="G243" i="8"/>
  <c r="D243" i="8"/>
  <c r="B243" i="8"/>
  <c r="A243" i="8"/>
  <c r="G242" i="8"/>
  <c r="B242" i="8"/>
  <c r="A242" i="8"/>
  <c r="G241" i="8"/>
  <c r="D241" i="8"/>
  <c r="B241" i="8"/>
  <c r="A241" i="8"/>
  <c r="G240" i="8"/>
  <c r="B240" i="8"/>
  <c r="A240" i="8"/>
  <c r="G239" i="8"/>
  <c r="D239" i="8"/>
  <c r="B239" i="8"/>
  <c r="A239" i="8"/>
  <c r="G238" i="8"/>
  <c r="B238" i="8"/>
  <c r="A238" i="8"/>
  <c r="G237" i="8"/>
  <c r="B237" i="8"/>
  <c r="A237" i="8"/>
  <c r="G236" i="8"/>
  <c r="A236" i="8"/>
  <c r="G234" i="8"/>
  <c r="D234" i="8"/>
  <c r="B234" i="8"/>
  <c r="A234" i="8"/>
  <c r="G233" i="8"/>
  <c r="B233" i="8"/>
  <c r="A233" i="8"/>
  <c r="G232" i="8"/>
  <c r="D232" i="8"/>
  <c r="B232" i="8"/>
  <c r="A232" i="8"/>
  <c r="D231" i="8"/>
  <c r="B231" i="8"/>
  <c r="A231" i="8"/>
  <c r="G230" i="8"/>
  <c r="A230" i="8"/>
  <c r="G228" i="8"/>
  <c r="D228" i="8"/>
  <c r="B228" i="8"/>
  <c r="A228" i="8"/>
  <c r="G227" i="8"/>
  <c r="B227" i="8"/>
  <c r="A227" i="8"/>
  <c r="G226" i="8"/>
  <c r="B226" i="8"/>
  <c r="A226" i="8"/>
  <c r="G225" i="8"/>
  <c r="B225" i="8"/>
  <c r="A225" i="8"/>
  <c r="G224" i="8"/>
  <c r="A224" i="8"/>
  <c r="G222" i="8"/>
  <c r="D222" i="8"/>
  <c r="B222" i="8"/>
  <c r="A222" i="8"/>
  <c r="G221" i="8"/>
  <c r="D221" i="8"/>
  <c r="B221" i="8"/>
  <c r="A221" i="8"/>
  <c r="D220" i="8"/>
  <c r="B220" i="8"/>
  <c r="A220" i="8"/>
  <c r="G219" i="8"/>
  <c r="A219" i="8"/>
  <c r="G217" i="8"/>
  <c r="D217" i="8"/>
  <c r="B217" i="8"/>
  <c r="A217" i="8"/>
  <c r="D216" i="8"/>
  <c r="B216" i="8"/>
  <c r="A216" i="8"/>
  <c r="G215" i="8"/>
  <c r="A215" i="8"/>
  <c r="G213" i="8"/>
  <c r="D213" i="8"/>
  <c r="B213" i="8"/>
  <c r="A213" i="8"/>
  <c r="G212" i="8"/>
  <c r="D212" i="8"/>
  <c r="B212" i="8"/>
  <c r="A212" i="8"/>
  <c r="G211" i="8"/>
  <c r="A211" i="8"/>
  <c r="G210" i="8"/>
  <c r="F210" i="8"/>
  <c r="D210" i="8"/>
  <c r="C210" i="8"/>
  <c r="B210" i="8"/>
  <c r="A210" i="8"/>
  <c r="A201" i="8"/>
  <c r="A199" i="8"/>
  <c r="A198" i="8"/>
  <c r="A197" i="8"/>
  <c r="A196" i="8"/>
  <c r="A195" i="8"/>
  <c r="A194" i="8"/>
  <c r="O193" i="8"/>
  <c r="A193" i="8"/>
  <c r="A192" i="8"/>
  <c r="C191" i="8"/>
  <c r="R185" i="8"/>
  <c r="R184" i="8"/>
  <c r="R181" i="8"/>
  <c r="Q181" i="8"/>
  <c r="O181" i="8"/>
  <c r="N181" i="8"/>
  <c r="R180" i="8"/>
  <c r="Q180" i="8"/>
  <c r="O180" i="8"/>
  <c r="N180" i="8"/>
  <c r="N179" i="8"/>
  <c r="R177" i="8"/>
  <c r="R176" i="8"/>
  <c r="Q176" i="8"/>
  <c r="O176" i="8"/>
  <c r="N176" i="8"/>
  <c r="R175" i="8"/>
  <c r="R174" i="8"/>
  <c r="Q174" i="8"/>
  <c r="O174" i="8"/>
  <c r="N174" i="8"/>
  <c r="N173" i="8"/>
  <c r="R171" i="8"/>
  <c r="Q171" i="8"/>
  <c r="O171" i="8"/>
  <c r="N171" i="8"/>
  <c r="N170" i="8"/>
  <c r="R168" i="8"/>
  <c r="Q168" i="8"/>
  <c r="O168" i="8"/>
  <c r="N168" i="8"/>
  <c r="N166" i="8"/>
  <c r="R164" i="8"/>
  <c r="Q164" i="8"/>
  <c r="N164" i="8"/>
  <c r="R162" i="8"/>
  <c r="Q162" i="8"/>
  <c r="O162" i="8"/>
  <c r="N162" i="8"/>
  <c r="R161" i="8"/>
  <c r="Q161" i="8"/>
  <c r="O161" i="8"/>
  <c r="N161" i="8"/>
  <c r="R160" i="8"/>
  <c r="Q160" i="8"/>
  <c r="O160" i="8"/>
  <c r="N160" i="8"/>
  <c r="R159" i="8"/>
  <c r="Q159" i="8"/>
  <c r="O159" i="8"/>
  <c r="N159" i="8"/>
  <c r="A159" i="8"/>
  <c r="R158" i="8"/>
  <c r="Q158" i="8"/>
  <c r="O158" i="8"/>
  <c r="N158" i="8"/>
  <c r="R157" i="8"/>
  <c r="Q157" i="8"/>
  <c r="O157" i="8"/>
  <c r="N157" i="8"/>
  <c r="N156" i="8"/>
  <c r="R154" i="8"/>
  <c r="Q154" i="8"/>
  <c r="O154" i="8"/>
  <c r="N154" i="8"/>
  <c r="R153" i="8"/>
  <c r="Q153" i="8"/>
  <c r="O153" i="8"/>
  <c r="N153" i="8"/>
  <c r="R152" i="8"/>
  <c r="Q152" i="8"/>
  <c r="O152" i="8"/>
  <c r="N152" i="8"/>
  <c r="R151" i="8"/>
  <c r="Q151" i="8"/>
  <c r="O151" i="8"/>
  <c r="N151" i="8"/>
  <c r="R150" i="8"/>
  <c r="Q150" i="8"/>
  <c r="O150" i="8"/>
  <c r="N150" i="8"/>
  <c r="N149" i="8"/>
  <c r="R147" i="8"/>
  <c r="Q147" i="8"/>
  <c r="O147" i="8"/>
  <c r="N147" i="8"/>
  <c r="AD146" i="8"/>
  <c r="R145" i="8"/>
  <c r="Q145" i="8"/>
  <c r="O145" i="8"/>
  <c r="N145" i="8"/>
  <c r="AD144" i="8"/>
  <c r="Z190" i="8" s="1"/>
  <c r="R143" i="8"/>
  <c r="Q143" i="8"/>
  <c r="O143" i="8"/>
  <c r="N143" i="8"/>
  <c r="AD142" i="8"/>
  <c r="Z185" i="8" s="1"/>
  <c r="R141" i="8"/>
  <c r="Q141" i="8"/>
  <c r="O141" i="8"/>
  <c r="N141" i="8"/>
  <c r="AD140" i="8"/>
  <c r="N140" i="8"/>
  <c r="AD138" i="8"/>
  <c r="Z181" i="8" s="1"/>
  <c r="R138" i="8"/>
  <c r="Q138" i="8"/>
  <c r="O138" i="8"/>
  <c r="N138" i="8"/>
  <c r="R137" i="8"/>
  <c r="Q137" i="8"/>
  <c r="O137" i="8"/>
  <c r="N137" i="8"/>
  <c r="N135" i="8"/>
  <c r="L135" i="8"/>
  <c r="L136" i="8" s="1"/>
  <c r="B129" i="8" s="1"/>
  <c r="L134" i="8"/>
  <c r="R133" i="8"/>
  <c r="Q133" i="8"/>
  <c r="O133" i="8"/>
  <c r="N133" i="8"/>
  <c r="L133" i="8"/>
  <c r="AD132" i="8"/>
  <c r="Z186" i="8" s="1"/>
  <c r="N132" i="8"/>
  <c r="L132" i="8"/>
  <c r="T131" i="8"/>
  <c r="S131" i="8"/>
  <c r="Q131" i="8"/>
  <c r="P131" i="8"/>
  <c r="O131" i="8"/>
  <c r="N131" i="8"/>
  <c r="BE118" i="8"/>
  <c r="BE117" i="8"/>
  <c r="BE113" i="8"/>
  <c r="BE109" i="8"/>
  <c r="BE105" i="8"/>
  <c r="BE101" i="8"/>
  <c r="AF97" i="8"/>
  <c r="AF96" i="8"/>
  <c r="AF95" i="8"/>
  <c r="AF94" i="8"/>
  <c r="AF93" i="8"/>
  <c r="BF92" i="8"/>
  <c r="AF92" i="8"/>
  <c r="AF91" i="8"/>
  <c r="BF90" i="8"/>
  <c r="AF90" i="8"/>
  <c r="AI89" i="8"/>
  <c r="AF89" i="8"/>
  <c r="AF88" i="8"/>
  <c r="AF87" i="8"/>
  <c r="BF86" i="8"/>
  <c r="AF86" i="8"/>
  <c r="BF85" i="8"/>
  <c r="AF85" i="8"/>
  <c r="AF84" i="8"/>
  <c r="AF83" i="8"/>
  <c r="AF82" i="8"/>
  <c r="P82" i="8"/>
  <c r="P83" i="8" s="1"/>
  <c r="P85" i="8" s="1"/>
  <c r="AF81" i="8"/>
  <c r="AF80" i="8"/>
  <c r="P80" i="8"/>
  <c r="AI79" i="8"/>
  <c r="AI80" i="8" s="1"/>
  <c r="AF79" i="8"/>
  <c r="BF78" i="8"/>
  <c r="BF118" i="8" s="1"/>
  <c r="BE78" i="8"/>
  <c r="AF78" i="8"/>
  <c r="P78" i="8"/>
  <c r="BF77" i="8"/>
  <c r="BF117" i="8" s="1"/>
  <c r="BE77" i="8"/>
  <c r="AI77" i="8"/>
  <c r="AF77" i="8"/>
  <c r="BF76" i="8"/>
  <c r="BF116" i="8" s="1"/>
  <c r="BE76" i="8"/>
  <c r="BE116" i="8" s="1"/>
  <c r="AF76" i="8"/>
  <c r="P76" i="8"/>
  <c r="BF75" i="8"/>
  <c r="BF115" i="8" s="1"/>
  <c r="BE75" i="8"/>
  <c r="BE115" i="8" s="1"/>
  <c r="AF75" i="8"/>
  <c r="P75" i="8"/>
  <c r="BF74" i="8"/>
  <c r="BF114" i="8" s="1"/>
  <c r="BE74" i="8"/>
  <c r="BE114" i="8" s="1"/>
  <c r="AF74" i="8"/>
  <c r="BF73" i="8"/>
  <c r="BF113" i="8" s="1"/>
  <c r="BE73" i="8"/>
  <c r="AF73" i="8"/>
  <c r="P73" i="8"/>
  <c r="BF72" i="8"/>
  <c r="BF112" i="8" s="1"/>
  <c r="BE72" i="8"/>
  <c r="BE112" i="8" s="1"/>
  <c r="BB72" i="8"/>
  <c r="BB74" i="8" s="1"/>
  <c r="AF72" i="8"/>
  <c r="P72" i="8"/>
  <c r="E72" i="8"/>
  <c r="BF71" i="8"/>
  <c r="BF111" i="8" s="1"/>
  <c r="BE71" i="8"/>
  <c r="BE111" i="8" s="1"/>
  <c r="AF71" i="8"/>
  <c r="T71" i="8"/>
  <c r="E71" i="8"/>
  <c r="E73" i="8" s="1"/>
  <c r="BF70" i="8"/>
  <c r="BF110" i="8" s="1"/>
  <c r="BE70" i="8"/>
  <c r="BE110" i="8" s="1"/>
  <c r="BB70" i="8"/>
  <c r="AF70" i="8"/>
  <c r="P70" i="8"/>
  <c r="H58" i="8" s="1"/>
  <c r="BF69" i="8"/>
  <c r="BF109" i="8" s="1"/>
  <c r="BE69" i="8"/>
  <c r="BB69" i="8"/>
  <c r="AI69" i="8"/>
  <c r="AF69" i="8"/>
  <c r="BF68" i="8"/>
  <c r="BF108" i="8" s="1"/>
  <c r="BE68" i="8"/>
  <c r="BE108" i="8" s="1"/>
  <c r="AF68" i="8"/>
  <c r="T68" i="8"/>
  <c r="P68" i="8"/>
  <c r="B68" i="8"/>
  <c r="BF67" i="8"/>
  <c r="BF107" i="8" s="1"/>
  <c r="BE67" i="8"/>
  <c r="BE107" i="8" s="1"/>
  <c r="B67" i="8"/>
  <c r="B69" i="8" s="1"/>
  <c r="H84" i="8" s="1"/>
  <c r="BF66" i="8"/>
  <c r="BF106" i="8" s="1"/>
  <c r="BE66" i="8"/>
  <c r="BE106" i="8" s="1"/>
  <c r="BF65" i="8"/>
  <c r="BF105" i="8" s="1"/>
  <c r="BE65" i="8"/>
  <c r="AY65" i="8"/>
  <c r="T65" i="8"/>
  <c r="BZ64" i="8"/>
  <c r="BF64" i="8"/>
  <c r="BF104" i="8" s="1"/>
  <c r="BE64" i="8"/>
  <c r="BE104" i="8" s="1"/>
  <c r="AU64" i="8"/>
  <c r="AU65" i="8" s="1"/>
  <c r="H64" i="8"/>
  <c r="CD63" i="8"/>
  <c r="BF63" i="8"/>
  <c r="BF103" i="8" s="1"/>
  <c r="BE63" i="8"/>
  <c r="BE103" i="8" s="1"/>
  <c r="AY63" i="8"/>
  <c r="AY64" i="8" s="1"/>
  <c r="H63" i="8"/>
  <c r="BF62" i="8"/>
  <c r="BF102" i="8" s="1"/>
  <c r="BE62" i="8"/>
  <c r="BE102" i="8" s="1"/>
  <c r="AU62" i="8"/>
  <c r="AI62" i="8"/>
  <c r="T62" i="8"/>
  <c r="P62" i="8"/>
  <c r="P63" i="8" s="1"/>
  <c r="P66" i="8" s="1"/>
  <c r="T72" i="8" s="1"/>
  <c r="CD61" i="8"/>
  <c r="BZ61" i="8"/>
  <c r="BF61" i="8"/>
  <c r="BF101" i="8" s="1"/>
  <c r="BE61" i="8"/>
  <c r="AI61" i="8"/>
  <c r="AI63" i="8" s="1"/>
  <c r="BF60" i="8"/>
  <c r="BF100" i="8" s="1"/>
  <c r="BE60" i="8"/>
  <c r="BE100" i="8" s="1"/>
  <c r="CD59" i="8"/>
  <c r="BZ59" i="8"/>
  <c r="BV59" i="8"/>
  <c r="BF59" i="8"/>
  <c r="BF99" i="8" s="1"/>
  <c r="BE59" i="8"/>
  <c r="BE99" i="8" s="1"/>
  <c r="AU59" i="8"/>
  <c r="AC59" i="8"/>
  <c r="H59" i="8"/>
  <c r="CD58" i="8"/>
  <c r="BF58" i="8"/>
  <c r="BF98" i="8" s="1"/>
  <c r="BE58" i="8"/>
  <c r="BE98" i="8" s="1"/>
  <c r="AC58" i="8"/>
  <c r="BZ57" i="8"/>
  <c r="BV57" i="8"/>
  <c r="BF57" i="8"/>
  <c r="BF97" i="8" s="1"/>
  <c r="BE57" i="8"/>
  <c r="BE97" i="8" s="1"/>
  <c r="AC57" i="8"/>
  <c r="AC63" i="8" s="1"/>
  <c r="P57" i="8"/>
  <c r="P60" i="8" s="1"/>
  <c r="T69" i="8" s="1"/>
  <c r="H57" i="8"/>
  <c r="BF56" i="8"/>
  <c r="BF96" i="8" s="1"/>
  <c r="BE56" i="8"/>
  <c r="BE96" i="8" s="1"/>
  <c r="BB56" i="8"/>
  <c r="AC56" i="8"/>
  <c r="AC62" i="8" s="1"/>
  <c r="AC64" i="8" s="1"/>
  <c r="P56" i="8"/>
  <c r="BZ55" i="8"/>
  <c r="BV55" i="8"/>
  <c r="BF55" i="8"/>
  <c r="BF95" i="8" s="1"/>
  <c r="BE55" i="8"/>
  <c r="BE95" i="8" s="1"/>
  <c r="BB55" i="8"/>
  <c r="BF54" i="8"/>
  <c r="BF94" i="8" s="1"/>
  <c r="BE54" i="8"/>
  <c r="BE94" i="8" s="1"/>
  <c r="BB54" i="8"/>
  <c r="H54" i="8"/>
  <c r="E54" i="8"/>
  <c r="BZ53" i="8"/>
  <c r="BV53" i="8"/>
  <c r="BR53" i="8"/>
  <c r="BF53" i="8"/>
  <c r="BF93" i="8" s="1"/>
  <c r="BE53" i="8"/>
  <c r="BE93" i="8" s="1"/>
  <c r="BB53" i="8"/>
  <c r="AU53" i="8"/>
  <c r="H53" i="8"/>
  <c r="H55" i="8" s="1"/>
  <c r="E53" i="8"/>
  <c r="BF52" i="8"/>
  <c r="BE52" i="8"/>
  <c r="BE92" i="8" s="1"/>
  <c r="BB52" i="8"/>
  <c r="AU52" i="8"/>
  <c r="AI52" i="8"/>
  <c r="AI53" i="8" s="1"/>
  <c r="AI55" i="8" s="1"/>
  <c r="P52" i="8"/>
  <c r="P54" i="8" s="1"/>
  <c r="T66" i="8" s="1"/>
  <c r="E52" i="8"/>
  <c r="BZ51" i="8"/>
  <c r="BV51" i="8"/>
  <c r="BF51" i="8"/>
  <c r="BF91" i="8" s="1"/>
  <c r="BE51" i="8"/>
  <c r="BE91" i="8" s="1"/>
  <c r="BB51" i="8"/>
  <c r="AU51" i="8"/>
  <c r="AU54" i="8" s="1"/>
  <c r="P51" i="8"/>
  <c r="E51" i="8"/>
  <c r="BF50" i="8"/>
  <c r="BE50" i="8"/>
  <c r="BB50" i="8"/>
  <c r="AY50" i="8"/>
  <c r="E50" i="8"/>
  <c r="E57" i="8" s="1"/>
  <c r="BZ49" i="8"/>
  <c r="BV49" i="8"/>
  <c r="BB49" i="8"/>
  <c r="AY49" i="8"/>
  <c r="P49" i="8"/>
  <c r="H49" i="8"/>
  <c r="B49" i="8"/>
  <c r="BB48" i="8"/>
  <c r="AY48" i="8"/>
  <c r="AC48" i="8"/>
  <c r="H48" i="8"/>
  <c r="H50" i="8" s="1"/>
  <c r="H71" i="8" s="1"/>
  <c r="B48" i="8"/>
  <c r="BZ47" i="8"/>
  <c r="BV47" i="8"/>
  <c r="BB47" i="8"/>
  <c r="AY47" i="8"/>
  <c r="AC47" i="8"/>
  <c r="B47" i="8"/>
  <c r="B54" i="8" s="1"/>
  <c r="BB46" i="8"/>
  <c r="AY46" i="8"/>
  <c r="AC46" i="8"/>
  <c r="B46" i="8"/>
  <c r="B53" i="8" s="1"/>
  <c r="BZ45" i="8"/>
  <c r="BV45" i="8"/>
  <c r="BR45" i="8"/>
  <c r="BB45" i="8"/>
  <c r="AY45" i="8"/>
  <c r="AI45" i="8"/>
  <c r="AC45" i="8"/>
  <c r="B45" i="8"/>
  <c r="BB44" i="8"/>
  <c r="AY44" i="8"/>
  <c r="AI44" i="8"/>
  <c r="AI46" i="8" s="1"/>
  <c r="AI47" i="8" s="1"/>
  <c r="AI49" i="8" s="1"/>
  <c r="AI56" i="8" s="1"/>
  <c r="AI57" i="8" s="1"/>
  <c r="AC44" i="8"/>
  <c r="P44" i="8"/>
  <c r="P45" i="8" s="1"/>
  <c r="P47" i="8" s="1"/>
  <c r="T63" i="8" s="1"/>
  <c r="B44" i="8"/>
  <c r="B52" i="8" s="1"/>
  <c r="B56" i="8" s="1"/>
  <c r="BZ43" i="8"/>
  <c r="BV43" i="8"/>
  <c r="BR43" i="8"/>
  <c r="BN43" i="8"/>
  <c r="BB43" i="8"/>
  <c r="AY43" i="8"/>
  <c r="AC43" i="8"/>
  <c r="BR42" i="8"/>
  <c r="BB42" i="8"/>
  <c r="AY42" i="8"/>
  <c r="AC42" i="8"/>
  <c r="BZ41" i="8"/>
  <c r="BV41" i="8"/>
  <c r="BR41" i="8"/>
  <c r="BR47" i="8" s="1"/>
  <c r="BB41" i="8"/>
  <c r="AY41" i="8"/>
  <c r="AC41" i="8"/>
  <c r="BJ40" i="8"/>
  <c r="BB40" i="8"/>
  <c r="AY40" i="8"/>
  <c r="AI40" i="8"/>
  <c r="AC40" i="8"/>
  <c r="X40" i="8"/>
  <c r="X41" i="8" s="1"/>
  <c r="X42" i="8" s="1"/>
  <c r="X43" i="8" s="1"/>
  <c r="T40" i="8"/>
  <c r="T41" i="8" s="1"/>
  <c r="T42" i="8" s="1"/>
  <c r="T44" i="8" s="1"/>
  <c r="H40" i="8"/>
  <c r="BZ39" i="8"/>
  <c r="BV39" i="8"/>
  <c r="BJ39" i="8"/>
  <c r="BB39" i="8"/>
  <c r="AY39" i="8"/>
  <c r="AC39" i="8"/>
  <c r="X39" i="8"/>
  <c r="P39" i="8"/>
  <c r="P40" i="8" s="1"/>
  <c r="P42" i="8" s="1"/>
  <c r="T60" i="8" s="1"/>
  <c r="BN38" i="8"/>
  <c r="AY38" i="8"/>
  <c r="AC38" i="8"/>
  <c r="BZ37" i="8"/>
  <c r="BV37" i="8"/>
  <c r="AY37" i="8"/>
  <c r="AU37" i="8"/>
  <c r="AU39" i="8" s="1"/>
  <c r="AU40" i="8" s="1"/>
  <c r="AF37" i="8"/>
  <c r="AC37" i="8"/>
  <c r="E37" i="8"/>
  <c r="E41" i="8" s="1"/>
  <c r="AY36" i="8"/>
  <c r="AC36" i="8"/>
  <c r="E36" i="8"/>
  <c r="BZ35" i="8"/>
  <c r="BV35" i="8"/>
  <c r="BR35" i="8"/>
  <c r="AC35" i="8"/>
  <c r="P35" i="8"/>
  <c r="P37" i="8" s="1"/>
  <c r="T75" i="8" s="1"/>
  <c r="E35" i="8"/>
  <c r="E40" i="8" s="1"/>
  <c r="AU34" i="8"/>
  <c r="P34" i="8"/>
  <c r="X36" i="8" s="1"/>
  <c r="X37" i="8" s="1"/>
  <c r="X38" i="8" s="1"/>
  <c r="E34" i="8"/>
  <c r="E39" i="8" s="1"/>
  <c r="E43" i="8" s="1"/>
  <c r="BZ33" i="8"/>
  <c r="BV33" i="8"/>
  <c r="BR33" i="8"/>
  <c r="AM33" i="8"/>
  <c r="E33" i="8"/>
  <c r="B33" i="8"/>
  <c r="BN32" i="8"/>
  <c r="AU32" i="8"/>
  <c r="AU35" i="8" s="1"/>
  <c r="P32" i="8"/>
  <c r="T34" i="8" s="1"/>
  <c r="T35" i="8" s="1"/>
  <c r="E32" i="8"/>
  <c r="B32" i="8"/>
  <c r="B35" i="8" s="1"/>
  <c r="BZ31" i="8"/>
  <c r="BV31" i="8"/>
  <c r="T31" i="8"/>
  <c r="T32" i="8" s="1"/>
  <c r="B31" i="8"/>
  <c r="B34" i="8" s="1"/>
  <c r="T30" i="8"/>
  <c r="H30" i="8"/>
  <c r="B30" i="8"/>
  <c r="BZ29" i="8"/>
  <c r="BV29" i="8"/>
  <c r="BJ29" i="8"/>
  <c r="AU29" i="8"/>
  <c r="AU42" i="8" s="1"/>
  <c r="AU44" i="8" s="1"/>
  <c r="AQ29" i="8"/>
  <c r="BR28" i="8"/>
  <c r="AU28" i="8"/>
  <c r="AM28" i="8"/>
  <c r="BZ27" i="8"/>
  <c r="BV27" i="8"/>
  <c r="BR27" i="8"/>
  <c r="AU27" i="8"/>
  <c r="X27" i="8"/>
  <c r="X28" i="8" s="1"/>
  <c r="X29" i="8" s="1"/>
  <c r="AU26" i="8"/>
  <c r="X26" i="8"/>
  <c r="BZ25" i="8"/>
  <c r="BV25" i="8"/>
  <c r="P25" i="8"/>
  <c r="BZ23" i="8"/>
  <c r="BV23" i="8"/>
  <c r="BR23" i="8"/>
  <c r="T23" i="8"/>
  <c r="T25" i="8" s="1"/>
  <c r="P23" i="8"/>
  <c r="P26" i="8" s="1"/>
  <c r="BR22" i="8"/>
  <c r="AQ22" i="8"/>
  <c r="AM22" i="8"/>
  <c r="AI22" i="8"/>
  <c r="AI24" i="8" s="1"/>
  <c r="X22" i="8"/>
  <c r="P22" i="8"/>
  <c r="H38" i="8" s="1"/>
  <c r="E22" i="8"/>
  <c r="B22" i="8"/>
  <c r="H28" i="8" s="1"/>
  <c r="BZ21" i="8"/>
  <c r="BV21" i="8"/>
  <c r="BR21" i="8"/>
  <c r="BR37" i="8" s="1"/>
  <c r="BJ21" i="8"/>
  <c r="AM21" i="8"/>
  <c r="AI21" i="8"/>
  <c r="AI70" i="8" s="1"/>
  <c r="AI72" i="8" s="1"/>
  <c r="E21" i="8"/>
  <c r="E23" i="8" s="1"/>
  <c r="B21" i="8"/>
  <c r="BR20" i="8"/>
  <c r="AQ20" i="8"/>
  <c r="AM20" i="8"/>
  <c r="AM27" i="8" s="1"/>
  <c r="AF20" i="8"/>
  <c r="AC20" i="8"/>
  <c r="BV61" i="8" s="1"/>
  <c r="BV63" i="8" s="1"/>
  <c r="BJ19" i="8"/>
  <c r="T18" i="8"/>
  <c r="F11" i="8"/>
  <c r="B11" i="8"/>
  <c r="T77" i="8" s="1"/>
  <c r="T78" i="8" s="1"/>
  <c r="T80" i="8" s="1"/>
  <c r="F9" i="8"/>
  <c r="F8" i="8"/>
  <c r="F10" i="8" s="1"/>
  <c r="F6" i="8"/>
  <c r="J5" i="8"/>
  <c r="J4" i="8"/>
  <c r="D226" i="7"/>
  <c r="B226" i="7"/>
  <c r="A226" i="7"/>
  <c r="D225" i="7"/>
  <c r="B225" i="7"/>
  <c r="A225" i="7"/>
  <c r="A224" i="7"/>
  <c r="D222" i="7"/>
  <c r="B222" i="7"/>
  <c r="A222" i="7"/>
  <c r="D221" i="7"/>
  <c r="B221" i="7"/>
  <c r="A221" i="7"/>
  <c r="A220" i="7"/>
  <c r="B218" i="7"/>
  <c r="A218" i="7"/>
  <c r="A217" i="7"/>
  <c r="D215" i="7"/>
  <c r="B215" i="7"/>
  <c r="A215" i="7"/>
  <c r="B214" i="7"/>
  <c r="A214" i="7"/>
  <c r="A213" i="7"/>
  <c r="D211" i="7"/>
  <c r="B211" i="7"/>
  <c r="A211" i="7"/>
  <c r="B210" i="7"/>
  <c r="A210" i="7"/>
  <c r="B209" i="7"/>
  <c r="A209" i="7"/>
  <c r="D208" i="7"/>
  <c r="B208" i="7"/>
  <c r="A208" i="7"/>
  <c r="B207" i="7"/>
  <c r="A207" i="7"/>
  <c r="B206" i="7"/>
  <c r="A206" i="7"/>
  <c r="A205" i="7"/>
  <c r="D203" i="7"/>
  <c r="B203" i="7"/>
  <c r="A203" i="7"/>
  <c r="D202" i="7"/>
  <c r="B202" i="7"/>
  <c r="A202" i="7"/>
  <c r="D201" i="7"/>
  <c r="B201" i="7"/>
  <c r="A201" i="7"/>
  <c r="A200" i="7"/>
  <c r="D198" i="7"/>
  <c r="B198" i="7"/>
  <c r="A198" i="7"/>
  <c r="B197" i="7"/>
  <c r="A197" i="7"/>
  <c r="B196" i="7"/>
  <c r="A196" i="7"/>
  <c r="B195" i="7"/>
  <c r="A195" i="7"/>
  <c r="A194" i="7"/>
  <c r="D192" i="7"/>
  <c r="B192" i="7"/>
  <c r="A192" i="7"/>
  <c r="D191" i="7"/>
  <c r="B191" i="7"/>
  <c r="A191" i="7"/>
  <c r="D190" i="7"/>
  <c r="B190" i="7"/>
  <c r="A190" i="7"/>
  <c r="A189" i="7"/>
  <c r="D187" i="7"/>
  <c r="B187" i="7"/>
  <c r="A187" i="7"/>
  <c r="D186" i="7"/>
  <c r="B186" i="7"/>
  <c r="A186" i="7"/>
  <c r="A185" i="7"/>
  <c r="D183" i="7"/>
  <c r="B183" i="7"/>
  <c r="A183" i="7"/>
  <c r="D182" i="7"/>
  <c r="B182" i="7"/>
  <c r="A182" i="7"/>
  <c r="A181" i="7"/>
  <c r="G180" i="7"/>
  <c r="F180" i="7"/>
  <c r="D180" i="7"/>
  <c r="C180" i="7"/>
  <c r="B180" i="7"/>
  <c r="A180" i="7"/>
  <c r="A173" i="7"/>
  <c r="A172" i="7"/>
  <c r="A171" i="7"/>
  <c r="N170" i="7"/>
  <c r="A170" i="7"/>
  <c r="A169" i="7"/>
  <c r="A167" i="7"/>
  <c r="A166" i="7"/>
  <c r="U162" i="7"/>
  <c r="U161" i="7"/>
  <c r="U158" i="7"/>
  <c r="P158" i="7"/>
  <c r="N158" i="7"/>
  <c r="M158" i="7"/>
  <c r="U157" i="7"/>
  <c r="P157" i="7"/>
  <c r="N157" i="7"/>
  <c r="M157" i="7"/>
  <c r="M156" i="7"/>
  <c r="U154" i="7"/>
  <c r="U153" i="7"/>
  <c r="P153" i="7"/>
  <c r="N153" i="7"/>
  <c r="M153" i="7"/>
  <c r="U152" i="7"/>
  <c r="U151" i="7"/>
  <c r="P151" i="7"/>
  <c r="N151" i="7"/>
  <c r="M151" i="7"/>
  <c r="M150" i="7"/>
  <c r="U148" i="7"/>
  <c r="P148" i="7"/>
  <c r="N148" i="7"/>
  <c r="M148" i="7"/>
  <c r="M147" i="7"/>
  <c r="U145" i="7"/>
  <c r="M145" i="7"/>
  <c r="U144" i="7"/>
  <c r="P144" i="7"/>
  <c r="N144" i="7"/>
  <c r="M143" i="7"/>
  <c r="U141" i="7"/>
  <c r="U140" i="7"/>
  <c r="N139" i="7"/>
  <c r="M139" i="7"/>
  <c r="U138" i="7"/>
  <c r="P138" i="7"/>
  <c r="N138" i="7"/>
  <c r="M138" i="7"/>
  <c r="U137" i="7"/>
  <c r="P137" i="7"/>
  <c r="N137" i="7"/>
  <c r="M137" i="7"/>
  <c r="U136" i="7"/>
  <c r="P136" i="7"/>
  <c r="N136" i="7"/>
  <c r="M136" i="7"/>
  <c r="U135" i="7"/>
  <c r="P135" i="7"/>
  <c r="N135" i="7"/>
  <c r="M135" i="7"/>
  <c r="U134" i="7"/>
  <c r="P134" i="7"/>
  <c r="N134" i="7"/>
  <c r="M134" i="7"/>
  <c r="M133" i="7"/>
  <c r="U131" i="7"/>
  <c r="P131" i="7"/>
  <c r="N131" i="7"/>
  <c r="M131" i="7"/>
  <c r="U130" i="7"/>
  <c r="P130" i="7"/>
  <c r="N130" i="7"/>
  <c r="M130" i="7"/>
  <c r="U129" i="7"/>
  <c r="P129" i="7"/>
  <c r="N129" i="7"/>
  <c r="M129" i="7"/>
  <c r="M128" i="7"/>
  <c r="U126" i="7"/>
  <c r="P126" i="7"/>
  <c r="N126" i="7"/>
  <c r="M126" i="7"/>
  <c r="U124" i="7"/>
  <c r="P124" i="7"/>
  <c r="N124" i="7"/>
  <c r="M124" i="7"/>
  <c r="U122" i="7"/>
  <c r="P122" i="7"/>
  <c r="N122" i="7"/>
  <c r="M122" i="7"/>
  <c r="U120" i="7"/>
  <c r="P120" i="7"/>
  <c r="N120" i="7"/>
  <c r="M120" i="7"/>
  <c r="M119" i="7"/>
  <c r="U117" i="7"/>
  <c r="P117" i="7"/>
  <c r="N117" i="7"/>
  <c r="M117" i="7"/>
  <c r="U116" i="7"/>
  <c r="P116" i="7"/>
  <c r="N116" i="7"/>
  <c r="M116" i="7"/>
  <c r="M114" i="7"/>
  <c r="U112" i="7"/>
  <c r="P112" i="7"/>
  <c r="N112" i="7"/>
  <c r="M112" i="7"/>
  <c r="N111" i="7"/>
  <c r="M111" i="7"/>
  <c r="K111" i="7"/>
  <c r="M110" i="7"/>
  <c r="K110" i="7"/>
  <c r="P109" i="7"/>
  <c r="N109" i="7"/>
  <c r="M109" i="7"/>
  <c r="K109" i="7"/>
  <c r="K108" i="7"/>
  <c r="K112" i="7" s="1"/>
  <c r="B107" i="7" s="1"/>
  <c r="AM88" i="7"/>
  <c r="AM85" i="7"/>
  <c r="S84" i="7"/>
  <c r="S83" i="7"/>
  <c r="AM82" i="7"/>
  <c r="P81" i="7"/>
  <c r="P80" i="7"/>
  <c r="AM79" i="7"/>
  <c r="P76" i="7"/>
  <c r="AM75" i="7"/>
  <c r="P75" i="7"/>
  <c r="P74" i="7"/>
  <c r="AU73" i="7"/>
  <c r="P73" i="7"/>
  <c r="AM72" i="7"/>
  <c r="S72" i="7"/>
  <c r="AQ71" i="7"/>
  <c r="S70" i="7"/>
  <c r="AM69" i="7"/>
  <c r="S69" i="7"/>
  <c r="M69" i="7"/>
  <c r="S68" i="7"/>
  <c r="P68" i="7"/>
  <c r="M68" i="7"/>
  <c r="S67" i="7"/>
  <c r="P67" i="7"/>
  <c r="M67" i="7"/>
  <c r="AM66" i="7"/>
  <c r="S66" i="7"/>
  <c r="S74" i="7" s="1"/>
  <c r="P66" i="7"/>
  <c r="M66" i="7"/>
  <c r="AU65" i="7"/>
  <c r="AM65" i="7"/>
  <c r="P65" i="7"/>
  <c r="AM64" i="7"/>
  <c r="P64" i="7"/>
  <c r="B64" i="7"/>
  <c r="CG63" i="7"/>
  <c r="CE63" i="7"/>
  <c r="AU63" i="7"/>
  <c r="P63" i="7"/>
  <c r="B63" i="7"/>
  <c r="B65" i="7" s="1"/>
  <c r="BT62" i="7"/>
  <c r="BR62" i="7"/>
  <c r="BQ62" i="7"/>
  <c r="AU62" i="7"/>
  <c r="AM62" i="7"/>
  <c r="AM63" i="7" s="1"/>
  <c r="P62" i="7"/>
  <c r="BT61" i="7"/>
  <c r="BR61" i="7"/>
  <c r="BQ61" i="7"/>
  <c r="AU61" i="7"/>
  <c r="AU66" i="7" s="1"/>
  <c r="I61" i="7"/>
  <c r="BQ60" i="7"/>
  <c r="AM60" i="7"/>
  <c r="S58" i="7"/>
  <c r="I58" i="7"/>
  <c r="B58" i="7"/>
  <c r="AM57" i="7"/>
  <c r="S57" i="7"/>
  <c r="B57" i="7"/>
  <c r="B59" i="7" s="1"/>
  <c r="S56" i="7"/>
  <c r="AI55" i="7"/>
  <c r="S55" i="7"/>
  <c r="AM54" i="7"/>
  <c r="S54" i="7"/>
  <c r="M54" i="7"/>
  <c r="M59" i="7" s="1"/>
  <c r="AI53" i="7"/>
  <c r="S53" i="7"/>
  <c r="CS52" i="7"/>
  <c r="AU52" i="7"/>
  <c r="P52" i="7"/>
  <c r="M52" i="7"/>
  <c r="I52" i="7"/>
  <c r="AQ64" i="7" s="1"/>
  <c r="CS51" i="7"/>
  <c r="AM51" i="7"/>
  <c r="P51" i="7"/>
  <c r="M51" i="7"/>
  <c r="M56" i="7" s="1"/>
  <c r="P50" i="7"/>
  <c r="M50" i="7"/>
  <c r="CS49" i="7"/>
  <c r="AU49" i="7"/>
  <c r="W49" i="7"/>
  <c r="P49" i="7"/>
  <c r="CS48" i="7"/>
  <c r="BD48" i="7"/>
  <c r="AU48" i="7"/>
  <c r="AM48" i="7"/>
  <c r="AM49" i="7" s="1"/>
  <c r="W48" i="7"/>
  <c r="P48" i="7"/>
  <c r="M48" i="7"/>
  <c r="M53" i="7" s="1"/>
  <c r="M58" i="7" s="1"/>
  <c r="CG47" i="7"/>
  <c r="AU47" i="7"/>
  <c r="AM47" i="7"/>
  <c r="E47" i="7"/>
  <c r="AU46" i="7"/>
  <c r="AQ46" i="7"/>
  <c r="CS45" i="7"/>
  <c r="AU45" i="7"/>
  <c r="AQ45" i="7"/>
  <c r="AM45" i="7"/>
  <c r="S45" i="7"/>
  <c r="B45" i="7"/>
  <c r="CS44" i="7"/>
  <c r="AU44" i="7"/>
  <c r="S44" i="7"/>
  <c r="I44" i="7"/>
  <c r="E44" i="7"/>
  <c r="E49" i="7" s="1"/>
  <c r="AZ52" i="7" s="1"/>
  <c r="AZ54" i="7" s="1"/>
  <c r="AZ55" i="7" s="1"/>
  <c r="B44" i="7"/>
  <c r="B47" i="7" s="1"/>
  <c r="AU43" i="7"/>
  <c r="AA43" i="7"/>
  <c r="S43" i="7"/>
  <c r="S46" i="7" s="1"/>
  <c r="B43" i="7"/>
  <c r="B46" i="7" s="1"/>
  <c r="B50" i="7" s="1"/>
  <c r="AU42" i="7"/>
  <c r="AM42" i="7"/>
  <c r="AM43" i="7" s="1"/>
  <c r="S42" i="7"/>
  <c r="CS41" i="7"/>
  <c r="CP41" i="7"/>
  <c r="CG41" i="7"/>
  <c r="AU41" i="7"/>
  <c r="AU53" i="7" s="1"/>
  <c r="S41" i="7"/>
  <c r="P41" i="7"/>
  <c r="CV40" i="7"/>
  <c r="CS40" i="7"/>
  <c r="AM40" i="7"/>
  <c r="P40" i="7"/>
  <c r="M40" i="7"/>
  <c r="M42" i="7" s="1"/>
  <c r="CG39" i="7"/>
  <c r="BQ39" i="7"/>
  <c r="P39" i="7"/>
  <c r="M39" i="7"/>
  <c r="M41" i="7" s="1"/>
  <c r="CS38" i="7"/>
  <c r="CP38" i="7"/>
  <c r="P38" i="7"/>
  <c r="CS37" i="7"/>
  <c r="CP37" i="7"/>
  <c r="P37" i="7"/>
  <c r="CV36" i="7"/>
  <c r="AM36" i="7"/>
  <c r="AM37" i="7" s="1"/>
  <c r="AM38" i="7" s="1"/>
  <c r="AI36" i="7"/>
  <c r="P36" i="7"/>
  <c r="M36" i="7"/>
  <c r="AQ35" i="7"/>
  <c r="AE35" i="7"/>
  <c r="AA35" i="7"/>
  <c r="B35" i="7"/>
  <c r="CS34" i="7"/>
  <c r="CP34" i="7"/>
  <c r="S34" i="7"/>
  <c r="M34" i="7"/>
  <c r="I34" i="7"/>
  <c r="I46" i="7" s="1"/>
  <c r="E34" i="7"/>
  <c r="B34" i="7"/>
  <c r="S85" i="7" s="1"/>
  <c r="S87" i="7" s="1"/>
  <c r="CV33" i="7"/>
  <c r="CS33" i="7"/>
  <c r="CP33" i="7"/>
  <c r="AM33" i="7"/>
  <c r="S33" i="7"/>
  <c r="M33" i="7"/>
  <c r="M35" i="7" s="1"/>
  <c r="M43" i="7" s="1"/>
  <c r="I33" i="7"/>
  <c r="E45" i="7" s="1"/>
  <c r="E33" i="7"/>
  <c r="E35" i="7" s="1"/>
  <c r="CV32" i="7"/>
  <c r="CS32" i="7"/>
  <c r="BM32" i="7"/>
  <c r="AM32" i="7"/>
  <c r="AM73" i="7" s="1"/>
  <c r="AI32" i="7"/>
  <c r="AI33" i="7" s="1"/>
  <c r="S32" i="7"/>
  <c r="M32" i="7"/>
  <c r="AM31" i="7"/>
  <c r="AM89" i="7" s="1"/>
  <c r="AA31" i="7"/>
  <c r="AA33" i="7" s="1"/>
  <c r="S31" i="7"/>
  <c r="I31" i="7"/>
  <c r="CP30" i="7"/>
  <c r="AU30" i="7"/>
  <c r="AU67" i="7" s="1"/>
  <c r="AM30" i="7"/>
  <c r="AM52" i="7" s="1"/>
  <c r="AI30" i="7"/>
  <c r="S30" i="7"/>
  <c r="I30" i="7"/>
  <c r="CV29" i="7"/>
  <c r="CS29" i="7"/>
  <c r="CP29" i="7"/>
  <c r="AU29" i="7"/>
  <c r="AM29" i="7"/>
  <c r="AM80" i="7" s="1"/>
  <c r="AA29" i="7"/>
  <c r="AA38" i="7" s="1"/>
  <c r="AA41" i="7" s="1"/>
  <c r="B29" i="7"/>
  <c r="B30" i="7" s="1"/>
  <c r="CV28" i="7"/>
  <c r="AQ28" i="7"/>
  <c r="AI28" i="7"/>
  <c r="AE28" i="7"/>
  <c r="AE30" i="7" s="1"/>
  <c r="M28" i="7"/>
  <c r="BI62" i="7" s="1"/>
  <c r="B28" i="7"/>
  <c r="BD58" i="7" s="1"/>
  <c r="CS27" i="7"/>
  <c r="AU27" i="7"/>
  <c r="AU28" i="7" s="1"/>
  <c r="AE27" i="7"/>
  <c r="P27" i="7"/>
  <c r="P77" i="7" s="1"/>
  <c r="CS26" i="7"/>
  <c r="CP26" i="7"/>
  <c r="CG26" i="7"/>
  <c r="AQ26" i="7"/>
  <c r="M26" i="7"/>
  <c r="AM34" i="7" s="1"/>
  <c r="CV25" i="7"/>
  <c r="CS25" i="7"/>
  <c r="CP25" i="7"/>
  <c r="CG24" i="7"/>
  <c r="CV22" i="7"/>
  <c r="CS22" i="7"/>
  <c r="CG22" i="7"/>
  <c r="CS21" i="7"/>
  <c r="CP21" i="7"/>
  <c r="CS20" i="7"/>
  <c r="CV19" i="7"/>
  <c r="CS19" i="7"/>
  <c r="CG19" i="7"/>
  <c r="B19" i="7"/>
  <c r="CV18" i="7"/>
  <c r="CS18" i="7"/>
  <c r="CP18" i="7"/>
  <c r="CG18" i="7"/>
  <c r="CS17" i="7"/>
  <c r="CP17" i="7"/>
  <c r="CK17" i="7"/>
  <c r="CE55" i="7" s="1"/>
  <c r="CG17" i="7"/>
  <c r="F17" i="7"/>
  <c r="F16" i="7"/>
  <c r="CV15" i="7"/>
  <c r="CS15" i="7"/>
  <c r="CS50" i="7" s="1"/>
  <c r="CK15" i="7"/>
  <c r="CV14" i="7"/>
  <c r="CS14" i="7"/>
  <c r="CP14" i="7"/>
  <c r="CZ13" i="7"/>
  <c r="CV13" i="7"/>
  <c r="CS13" i="7"/>
  <c r="CP13" i="7"/>
  <c r="CK13" i="7"/>
  <c r="CG60" i="7" s="1"/>
  <c r="CP12" i="7"/>
  <c r="B12" i="7"/>
  <c r="CZ11" i="7"/>
  <c r="CZ12" i="7" s="1"/>
  <c r="CV11" i="7"/>
  <c r="CS11" i="7"/>
  <c r="CP11" i="7"/>
  <c r="CK11" i="7"/>
  <c r="F11" i="7"/>
  <c r="B11" i="7"/>
  <c r="AE26" i="7" s="1"/>
  <c r="CZ9" i="7"/>
  <c r="CV9" i="7"/>
  <c r="CV16" i="7" s="1"/>
  <c r="CV17" i="7" s="1"/>
  <c r="CS9" i="7"/>
  <c r="CS12" i="7" s="1"/>
  <c r="CP9" i="7"/>
  <c r="CP15" i="7" s="1"/>
  <c r="CK9" i="7"/>
  <c r="F9" i="7"/>
  <c r="AE41" i="7" s="1"/>
  <c r="AI60" i="7" s="1"/>
  <c r="CZ8" i="7"/>
  <c r="CZ14" i="7" s="1"/>
  <c r="F8" i="7"/>
  <c r="F10" i="7" s="1"/>
  <c r="B8" i="7"/>
  <c r="CK7" i="7"/>
  <c r="CG54" i="7" s="1"/>
  <c r="CK6" i="7"/>
  <c r="F6" i="7"/>
  <c r="CK3" i="7"/>
  <c r="CE61" i="7" s="1"/>
  <c r="K150" i="6"/>
  <c r="N141" i="6"/>
  <c r="N139" i="6"/>
  <c r="N136" i="6"/>
  <c r="N135" i="6"/>
  <c r="N132" i="6"/>
  <c r="N131" i="6"/>
  <c r="N128" i="6"/>
  <c r="N125" i="6"/>
  <c r="N122" i="6"/>
  <c r="N121" i="6"/>
  <c r="N120" i="6"/>
  <c r="N117" i="6"/>
  <c r="N116" i="6"/>
  <c r="N115" i="6"/>
  <c r="N114" i="6"/>
  <c r="N111" i="6"/>
  <c r="N109" i="6"/>
  <c r="N107" i="6"/>
  <c r="N105" i="6"/>
  <c r="N102" i="6"/>
  <c r="N99" i="6"/>
  <c r="N98" i="6"/>
  <c r="N97" i="6"/>
  <c r="U91" i="6"/>
  <c r="U89" i="6"/>
  <c r="AV71" i="6"/>
  <c r="AV72" i="6" s="1"/>
  <c r="AD70" i="6"/>
  <c r="AV69" i="6"/>
  <c r="AV70" i="6" s="1"/>
  <c r="L68" i="6"/>
  <c r="L69" i="6" s="1"/>
  <c r="AV67" i="6"/>
  <c r="AV68" i="6" s="1"/>
  <c r="BF66" i="6"/>
  <c r="AV66" i="6"/>
  <c r="BF62" i="6"/>
  <c r="Z58" i="6"/>
  <c r="Z64" i="6" s="1"/>
  <c r="AD57" i="6"/>
  <c r="AD71" i="6" s="1"/>
  <c r="AD72" i="6" s="1"/>
  <c r="AD73" i="6" s="1"/>
  <c r="AD74" i="6" s="1"/>
  <c r="AV55" i="6"/>
  <c r="B55" i="6"/>
  <c r="B56" i="6" s="1"/>
  <c r="B54" i="6"/>
  <c r="AV53" i="6"/>
  <c r="AH53" i="6"/>
  <c r="V52" i="6"/>
  <c r="I52" i="6"/>
  <c r="AV51" i="6"/>
  <c r="R50" i="6"/>
  <c r="AV49" i="6"/>
  <c r="I49" i="6"/>
  <c r="AV47" i="6"/>
  <c r="V47" i="6"/>
  <c r="V48" i="6" s="1"/>
  <c r="V49" i="6" s="1"/>
  <c r="AV45" i="6"/>
  <c r="I44" i="6"/>
  <c r="AK43" i="6"/>
  <c r="AK44" i="6" s="1"/>
  <c r="B43" i="6"/>
  <c r="B44" i="6" s="1"/>
  <c r="B45" i="6" s="1"/>
  <c r="Z42" i="6"/>
  <c r="Z46" i="6" s="1"/>
  <c r="B42" i="6"/>
  <c r="AD41" i="6"/>
  <c r="Z41" i="6"/>
  <c r="Z51" i="6" s="1"/>
  <c r="O39" i="6"/>
  <c r="B37" i="6"/>
  <c r="B38" i="6" s="1"/>
  <c r="B36" i="6"/>
  <c r="Z35" i="6"/>
  <c r="Z37" i="6" s="1"/>
  <c r="L34" i="6"/>
  <c r="AZ33" i="6"/>
  <c r="AZ34" i="6" s="1"/>
  <c r="AD33" i="6"/>
  <c r="AH32" i="6"/>
  <c r="Z32" i="6"/>
  <c r="AD31" i="6"/>
  <c r="AD34" i="6" s="1"/>
  <c r="AD44" i="6" s="1"/>
  <c r="AD45" i="6" s="1"/>
  <c r="AD46" i="6" s="1"/>
  <c r="B31" i="6"/>
  <c r="B32" i="6" s="1"/>
  <c r="AW30" i="6"/>
  <c r="AV30" i="6"/>
  <c r="AH30" i="6"/>
  <c r="AV58" i="6" s="1"/>
  <c r="AV60" i="6" s="1"/>
  <c r="Z30" i="6"/>
  <c r="R30" i="6"/>
  <c r="AH72" i="6" s="1"/>
  <c r="B30" i="6"/>
  <c r="AD29" i="6"/>
  <c r="AD54" i="6" s="1"/>
  <c r="AD55" i="6" s="1"/>
  <c r="AH28" i="6"/>
  <c r="AH44" i="6" s="1"/>
  <c r="AH46" i="6" s="1"/>
  <c r="Z28" i="6"/>
  <c r="AV27" i="6"/>
  <c r="AV28" i="6" s="1"/>
  <c r="V27" i="6"/>
  <c r="V28" i="6" s="1"/>
  <c r="V37" i="6" s="1"/>
  <c r="F27" i="6"/>
  <c r="AV26" i="6"/>
  <c r="AH26" i="6"/>
  <c r="AH43" i="6" s="1"/>
  <c r="AD26" i="6"/>
  <c r="AD27" i="6" s="1"/>
  <c r="Z26" i="6"/>
  <c r="Z34" i="6" s="1"/>
  <c r="V26" i="6"/>
  <c r="AV25" i="6"/>
  <c r="AD25" i="6"/>
  <c r="I25" i="6"/>
  <c r="B25" i="6"/>
  <c r="B26" i="6" s="1"/>
  <c r="AH24" i="6"/>
  <c r="AH40" i="6" s="1"/>
  <c r="AH42" i="6" s="1"/>
  <c r="AD24" i="6"/>
  <c r="Z24" i="6"/>
  <c r="Z52" i="6" s="1"/>
  <c r="Z63" i="6" s="1"/>
  <c r="B24" i="6"/>
  <c r="AR23" i="6"/>
  <c r="AD23" i="6"/>
  <c r="AH22" i="6"/>
  <c r="AH36" i="6" s="1"/>
  <c r="AH38" i="6" s="1"/>
  <c r="AH39" i="6" s="1"/>
  <c r="Z22" i="6"/>
  <c r="Z47" i="6" s="1"/>
  <c r="Z57" i="6" s="1"/>
  <c r="L22" i="6"/>
  <c r="AV21" i="6"/>
  <c r="AH20" i="6"/>
  <c r="AH33" i="6" s="1"/>
  <c r="AH35" i="6" s="1"/>
  <c r="Z20" i="6"/>
  <c r="L20" i="6"/>
  <c r="L23" i="6" s="1"/>
  <c r="I20" i="6"/>
  <c r="F20" i="6"/>
  <c r="L79" i="6" s="1"/>
  <c r="AZ19" i="6"/>
  <c r="AR17" i="6"/>
  <c r="AR54" i="6" s="1"/>
  <c r="B15" i="6"/>
  <c r="B14" i="6"/>
  <c r="AD19" i="6" s="1"/>
  <c r="BJ13" i="6"/>
  <c r="B13" i="6"/>
  <c r="AV22" i="6" s="1"/>
  <c r="AV23" i="6" s="1"/>
  <c r="C124" i="6" s="1"/>
  <c r="B12" i="6"/>
  <c r="V58" i="6" s="1"/>
  <c r="V59" i="6" s="1"/>
  <c r="BJ11" i="6"/>
  <c r="BF64" i="6" s="1"/>
  <c r="F11" i="6"/>
  <c r="BJ9" i="6"/>
  <c r="J9" i="6"/>
  <c r="F9" i="6"/>
  <c r="J8" i="6"/>
  <c r="F8" i="6"/>
  <c r="F10" i="6" s="1"/>
  <c r="AR24" i="6" s="1"/>
  <c r="BJ7" i="6"/>
  <c r="BF57" i="6" s="1"/>
  <c r="F6" i="6"/>
  <c r="BJ2" i="6"/>
  <c r="BJ4" i="6" s="1"/>
  <c r="AI81" i="8" l="1"/>
  <c r="AI25" i="8"/>
  <c r="C149" i="8" s="1"/>
  <c r="P144" i="8" s="1"/>
  <c r="AU67" i="8"/>
  <c r="AU69" i="8" s="1"/>
  <c r="AU71" i="8" s="1"/>
  <c r="C176" i="8" s="1"/>
  <c r="AU57" i="8"/>
  <c r="AU60" i="8" s="1"/>
  <c r="AU56" i="8"/>
  <c r="T19" i="8"/>
  <c r="T20" i="8" s="1"/>
  <c r="T21" i="8" s="1"/>
  <c r="T26" i="8" s="1"/>
  <c r="X33" i="8"/>
  <c r="P27" i="8"/>
  <c r="P30" i="8" s="1"/>
  <c r="T56" i="8" s="1"/>
  <c r="T36" i="8"/>
  <c r="T38" i="8" s="1"/>
  <c r="T46" i="8" s="1"/>
  <c r="H85" i="8"/>
  <c r="C146" i="8" s="1"/>
  <c r="C147" i="8"/>
  <c r="P142" i="8" s="1"/>
  <c r="X45" i="8"/>
  <c r="X34" i="8"/>
  <c r="B12" i="8"/>
  <c r="H41" i="8"/>
  <c r="H42" i="8" s="1"/>
  <c r="B61" i="8"/>
  <c r="B36" i="8"/>
  <c r="B55" i="8"/>
  <c r="B62" i="8" s="1"/>
  <c r="H80" i="8" s="1"/>
  <c r="H81" i="8" s="1"/>
  <c r="C152" i="8" s="1"/>
  <c r="CD62" i="8"/>
  <c r="B13" i="8"/>
  <c r="AQ23" i="8" s="1"/>
  <c r="AQ25" i="8" s="1"/>
  <c r="B23" i="8"/>
  <c r="E38" i="8"/>
  <c r="BB65" i="8"/>
  <c r="BB77" i="8" s="1"/>
  <c r="AI64" i="8"/>
  <c r="AI66" i="8" s="1"/>
  <c r="AI73" i="8" s="1"/>
  <c r="BZ63" i="8"/>
  <c r="BB64" i="8"/>
  <c r="BB76" i="8" s="1"/>
  <c r="BB63" i="8"/>
  <c r="CD60" i="8"/>
  <c r="B14" i="8"/>
  <c r="BV65" i="8"/>
  <c r="BV66" i="8" s="1"/>
  <c r="H27" i="8"/>
  <c r="H29" i="8" s="1"/>
  <c r="H31" i="8" s="1"/>
  <c r="H32" i="8" s="1"/>
  <c r="AU31" i="8"/>
  <c r="BR36" i="8"/>
  <c r="BR38" i="8" s="1"/>
  <c r="BR46" i="8"/>
  <c r="CD64" i="8"/>
  <c r="H72" i="8"/>
  <c r="AI82" i="8"/>
  <c r="AI83" i="8" s="1"/>
  <c r="E58" i="8"/>
  <c r="E60" i="8" s="1"/>
  <c r="E66" i="8" s="1"/>
  <c r="E59" i="8"/>
  <c r="T82" i="8"/>
  <c r="AM19" i="8"/>
  <c r="AM23" i="8" s="1"/>
  <c r="AM24" i="8" s="1"/>
  <c r="P184" i="8"/>
  <c r="P185" i="8"/>
  <c r="S185" i="8" s="1"/>
  <c r="U185" i="8" s="1"/>
  <c r="C148" i="8"/>
  <c r="AI84" i="8"/>
  <c r="BN22" i="8"/>
  <c r="X23" i="8"/>
  <c r="X24" i="8" s="1"/>
  <c r="X25" i="8" s="1"/>
  <c r="BN33" i="8"/>
  <c r="BN34" i="8" s="1"/>
  <c r="BN35" i="8" s="1"/>
  <c r="AY60" i="8"/>
  <c r="AY66" i="8" s="1"/>
  <c r="AF98" i="8"/>
  <c r="AI27" i="8" s="1"/>
  <c r="C187" i="8"/>
  <c r="AC49" i="8"/>
  <c r="BF119" i="8"/>
  <c r="BB66" i="8"/>
  <c r="BB78" i="8" s="1"/>
  <c r="AY59" i="8"/>
  <c r="AY61" i="8" s="1"/>
  <c r="AY67" i="8" s="1"/>
  <c r="AD134" i="8"/>
  <c r="Z184" i="8"/>
  <c r="AD147" i="8"/>
  <c r="Z187" i="8"/>
  <c r="Z188" i="8"/>
  <c r="H65" i="8"/>
  <c r="H66" i="8" s="1"/>
  <c r="H69" i="8" s="1"/>
  <c r="AD151" i="8"/>
  <c r="AA36" i="7"/>
  <c r="AA34" i="7"/>
  <c r="AZ42" i="7"/>
  <c r="E28" i="7"/>
  <c r="B52" i="7"/>
  <c r="E61" i="7" s="1"/>
  <c r="E62" i="7" s="1"/>
  <c r="AZ30" i="7"/>
  <c r="AZ63" i="7" s="1"/>
  <c r="BS42" i="7" s="1"/>
  <c r="AA42" i="7"/>
  <c r="AA44" i="7" s="1"/>
  <c r="CS30" i="7"/>
  <c r="I59" i="7"/>
  <c r="AU54" i="7"/>
  <c r="AU55" i="7"/>
  <c r="CP20" i="7"/>
  <c r="CP16" i="7"/>
  <c r="CV21" i="7"/>
  <c r="CV26" i="7"/>
  <c r="CV20" i="7"/>
  <c r="AI56" i="7"/>
  <c r="AI34" i="7"/>
  <c r="AI35" i="7" s="1"/>
  <c r="AI37" i="7"/>
  <c r="AI38" i="7" s="1"/>
  <c r="AI40" i="7" s="1"/>
  <c r="AI42" i="7" s="1"/>
  <c r="AE31" i="7"/>
  <c r="AE32" i="7" s="1"/>
  <c r="AE36" i="7"/>
  <c r="E65" i="7"/>
  <c r="AZ27" i="7"/>
  <c r="AQ27" i="7"/>
  <c r="AQ29" i="7" s="1"/>
  <c r="AQ47" i="7"/>
  <c r="AQ48" i="7" s="1"/>
  <c r="AZ56" i="7"/>
  <c r="AZ57" i="7"/>
  <c r="AZ58" i="7" s="1"/>
  <c r="AZ59" i="7" s="1"/>
  <c r="I54" i="7"/>
  <c r="I55" i="7" s="1"/>
  <c r="CZ10" i="7"/>
  <c r="AM61" i="7"/>
  <c r="AM90" i="7" s="1"/>
  <c r="CG61" i="7"/>
  <c r="CK5" i="7"/>
  <c r="CG59" i="7"/>
  <c r="CG58" i="7"/>
  <c r="B14" i="7"/>
  <c r="CG15" i="7"/>
  <c r="CG16" i="7"/>
  <c r="CP24" i="7"/>
  <c r="CG32" i="7"/>
  <c r="CG33" i="7"/>
  <c r="CG35" i="7"/>
  <c r="CS39" i="7"/>
  <c r="CS47" i="7"/>
  <c r="CG49" i="7"/>
  <c r="AM55" i="7"/>
  <c r="CG56" i="7"/>
  <c r="AM67" i="7"/>
  <c r="AM76" i="7"/>
  <c r="AM77" i="7" s="1"/>
  <c r="S86" i="7"/>
  <c r="S90" i="7" s="1"/>
  <c r="AQ56" i="7"/>
  <c r="AM94" i="7"/>
  <c r="AM97" i="7" s="1"/>
  <c r="AM98" i="7" s="1"/>
  <c r="CV12" i="7"/>
  <c r="CG67" i="7"/>
  <c r="CE67" i="7"/>
  <c r="B20" i="7"/>
  <c r="B21" i="7" s="1"/>
  <c r="CG21" i="7"/>
  <c r="CS24" i="7"/>
  <c r="I35" i="7"/>
  <c r="I36" i="7" s="1"/>
  <c r="CG37" i="7"/>
  <c r="CG38" i="7"/>
  <c r="CG44" i="7"/>
  <c r="E48" i="7"/>
  <c r="E51" i="7" s="1"/>
  <c r="E53" i="7" s="1"/>
  <c r="M57" i="7"/>
  <c r="CG66" i="7"/>
  <c r="AM83" i="7"/>
  <c r="CG14" i="7"/>
  <c r="CS16" i="7"/>
  <c r="BI27" i="7"/>
  <c r="AE34" i="7"/>
  <c r="CS35" i="7"/>
  <c r="I42" i="7"/>
  <c r="I47" i="7" s="1"/>
  <c r="I48" i="7" s="1"/>
  <c r="CG42" i="7"/>
  <c r="CG46" i="7"/>
  <c r="AU71" i="7"/>
  <c r="AU68" i="7"/>
  <c r="AU70" i="7" s="1"/>
  <c r="CG55" i="7"/>
  <c r="CG52" i="7"/>
  <c r="CG64" i="7"/>
  <c r="CG53" i="7"/>
  <c r="CG68" i="7"/>
  <c r="P82" i="7"/>
  <c r="S59" i="7"/>
  <c r="CG28" i="7"/>
  <c r="CG29" i="7"/>
  <c r="CG36" i="7"/>
  <c r="CG40" i="7"/>
  <c r="CG43" i="7"/>
  <c r="CG45" i="7"/>
  <c r="AM46" i="7"/>
  <c r="CS46" i="7"/>
  <c r="M55" i="7"/>
  <c r="M60" i="7" s="1"/>
  <c r="CG50" i="7"/>
  <c r="AM58" i="7"/>
  <c r="AM86" i="7"/>
  <c r="CK18" i="7"/>
  <c r="CE53" i="7" s="1"/>
  <c r="CG62" i="7"/>
  <c r="CE62" i="7"/>
  <c r="CE59" i="7"/>
  <c r="CG65" i="7"/>
  <c r="CE65" i="7"/>
  <c r="CG20" i="7"/>
  <c r="CG23" i="7"/>
  <c r="CG34" i="7"/>
  <c r="S35" i="7"/>
  <c r="CS23" i="7"/>
  <c r="CG25" i="7"/>
  <c r="B36" i="7"/>
  <c r="P42" i="7"/>
  <c r="CS42" i="7"/>
  <c r="CS53" i="7" s="1"/>
  <c r="CS43" i="7"/>
  <c r="CG48" i="7"/>
  <c r="AM70" i="7"/>
  <c r="AQ63" i="7"/>
  <c r="AQ65" i="7" s="1"/>
  <c r="I65" i="7"/>
  <c r="I66" i="7" s="1"/>
  <c r="I67" i="7" s="1"/>
  <c r="AQ57" i="7"/>
  <c r="AQ58" i="7" s="1"/>
  <c r="CG27" i="7"/>
  <c r="CS28" i="7"/>
  <c r="CG30" i="7"/>
  <c r="CG31" i="7"/>
  <c r="BD59" i="7"/>
  <c r="CS36" i="7"/>
  <c r="W50" i="7"/>
  <c r="CG51" i="7"/>
  <c r="P53" i="7"/>
  <c r="CG57" i="7"/>
  <c r="M72" i="7"/>
  <c r="M70" i="7"/>
  <c r="M71" i="7"/>
  <c r="S73" i="7"/>
  <c r="S71" i="7"/>
  <c r="S79" i="7" s="1"/>
  <c r="C127" i="7" s="1"/>
  <c r="O123" i="7" s="1"/>
  <c r="V41" i="6"/>
  <c r="V42" i="6" s="1"/>
  <c r="V53" i="6"/>
  <c r="V54" i="6" s="1"/>
  <c r="V60" i="6" s="1"/>
  <c r="V62" i="6" s="1"/>
  <c r="C130" i="6" s="1"/>
  <c r="E130" i="6" s="1"/>
  <c r="G130" i="6" s="1"/>
  <c r="AV73" i="6"/>
  <c r="AV29" i="6"/>
  <c r="AV31" i="6" s="1"/>
  <c r="C127" i="6" s="1"/>
  <c r="B46" i="6"/>
  <c r="B59" i="6" s="1"/>
  <c r="B91" i="6"/>
  <c r="B49" i="6"/>
  <c r="B58" i="6" s="1"/>
  <c r="AH47" i="6"/>
  <c r="AV62" i="6"/>
  <c r="AV75" i="6" s="1"/>
  <c r="AH49" i="6"/>
  <c r="E124" i="6"/>
  <c r="G124" i="6" s="1"/>
  <c r="L120" i="6"/>
  <c r="O120" i="6" s="1"/>
  <c r="Q120" i="6" s="1"/>
  <c r="AD60" i="6"/>
  <c r="AD61" i="6" s="1"/>
  <c r="AD62" i="6" s="1"/>
  <c r="AD21" i="6"/>
  <c r="AD58" i="6"/>
  <c r="AD59" i="6" s="1"/>
  <c r="AD75" i="6"/>
  <c r="AD76" i="6" s="1"/>
  <c r="BF53" i="6"/>
  <c r="BF52" i="6"/>
  <c r="BF31" i="6"/>
  <c r="BF30" i="6"/>
  <c r="BF26" i="6"/>
  <c r="BF14" i="6"/>
  <c r="BF51" i="6"/>
  <c r="BF49" i="6"/>
  <c r="BF44" i="6"/>
  <c r="BF50" i="6"/>
  <c r="BF43" i="6"/>
  <c r="BF24" i="6"/>
  <c r="BF42" i="6"/>
  <c r="BF40" i="6"/>
  <c r="BF25" i="6"/>
  <c r="BF18" i="6"/>
  <c r="BF13" i="6"/>
  <c r="BF60" i="6"/>
  <c r="BF23" i="6"/>
  <c r="BF17" i="6"/>
  <c r="BF47" i="6"/>
  <c r="BF36" i="6"/>
  <c r="BF29" i="6"/>
  <c r="BF27" i="6"/>
  <c r="BF21" i="6"/>
  <c r="BF19" i="6"/>
  <c r="BF16" i="6"/>
  <c r="BF34" i="6"/>
  <c r="AK20" i="6"/>
  <c r="L25" i="6"/>
  <c r="I27" i="6"/>
  <c r="I28" i="6" s="1"/>
  <c r="I30" i="6" s="1"/>
  <c r="F32" i="6"/>
  <c r="F35" i="6" s="1"/>
  <c r="F44" i="6" s="1"/>
  <c r="F46" i="6" s="1"/>
  <c r="O34" i="6"/>
  <c r="Z43" i="6"/>
  <c r="O44" i="6"/>
  <c r="L45" i="6"/>
  <c r="O50" i="6"/>
  <c r="O51" i="6" s="1"/>
  <c r="O53" i="6" s="1"/>
  <c r="I54" i="6"/>
  <c r="I55" i="6" s="1"/>
  <c r="I57" i="6" s="1"/>
  <c r="I63" i="6"/>
  <c r="I64" i="6" s="1"/>
  <c r="L72" i="6"/>
  <c r="AZ20" i="6"/>
  <c r="AZ21" i="6" s="1"/>
  <c r="I22" i="6"/>
  <c r="F23" i="6"/>
  <c r="L27" i="6"/>
  <c r="I32" i="6"/>
  <c r="O56" i="6"/>
  <c r="O59" i="6" s="1"/>
  <c r="BF61" i="6"/>
  <c r="O63" i="6"/>
  <c r="L67" i="6"/>
  <c r="L70" i="6" s="1"/>
  <c r="I77" i="6"/>
  <c r="F30" i="6"/>
  <c r="L32" i="6"/>
  <c r="L35" i="6" s="1"/>
  <c r="O36" i="6"/>
  <c r="O40" i="6" s="1"/>
  <c r="O54" i="6" s="1"/>
  <c r="I37" i="6"/>
  <c r="AR40" i="6"/>
  <c r="AR42" i="6"/>
  <c r="L62" i="6"/>
  <c r="V29" i="6"/>
  <c r="V30" i="6" s="1"/>
  <c r="V31" i="6" s="1"/>
  <c r="V32" i="6" s="1"/>
  <c r="V33" i="6" s="1"/>
  <c r="C131" i="6" s="1"/>
  <c r="L38" i="6"/>
  <c r="AH51" i="6"/>
  <c r="BF59" i="6"/>
  <c r="I61" i="6"/>
  <c r="AD36" i="6"/>
  <c r="AD39" i="6" s="1"/>
  <c r="AD47" i="6" s="1"/>
  <c r="F40" i="6"/>
  <c r="F41" i="6" s="1"/>
  <c r="F43" i="6" s="1"/>
  <c r="O61" i="6"/>
  <c r="I75" i="6"/>
  <c r="I79" i="6" s="1"/>
  <c r="AR29" i="6"/>
  <c r="O42" i="6"/>
  <c r="O45" i="6" s="1"/>
  <c r="O47" i="6" s="1"/>
  <c r="Z48" i="6"/>
  <c r="AR52" i="6"/>
  <c r="AR55" i="6" s="1"/>
  <c r="L57" i="6"/>
  <c r="L58" i="6" s="1"/>
  <c r="L60" i="6" s="1"/>
  <c r="O58" i="6"/>
  <c r="I59" i="6"/>
  <c r="F25" i="6"/>
  <c r="AR27" i="6"/>
  <c r="AR30" i="6" s="1"/>
  <c r="F34" i="6"/>
  <c r="I39" i="6"/>
  <c r="L40" i="6"/>
  <c r="L43" i="6"/>
  <c r="L64" i="6"/>
  <c r="C228" i="8" l="1"/>
  <c r="L210" i="8"/>
  <c r="P147" i="8"/>
  <c r="B195" i="8" s="1"/>
  <c r="E152" i="8"/>
  <c r="P171" i="8"/>
  <c r="S171" i="8" s="1"/>
  <c r="U171" i="8" s="1"/>
  <c r="C250" i="8"/>
  <c r="E176" i="8"/>
  <c r="AI87" i="8"/>
  <c r="AI90" i="8" s="1"/>
  <c r="AI91" i="8" s="1"/>
  <c r="AI74" i="8"/>
  <c r="C157" i="8" s="1"/>
  <c r="E146" i="8"/>
  <c r="H146" i="8" s="1"/>
  <c r="P141" i="8"/>
  <c r="C225" i="8"/>
  <c r="H67" i="8"/>
  <c r="H70" i="8" s="1"/>
  <c r="H34" i="8"/>
  <c r="H35" i="8" s="1"/>
  <c r="H36" i="8" s="1"/>
  <c r="H33" i="8"/>
  <c r="E61" i="8"/>
  <c r="T50" i="8"/>
  <c r="T51" i="8"/>
  <c r="C173" i="8" s="1"/>
  <c r="B57" i="8"/>
  <c r="B63" i="8" s="1"/>
  <c r="BZ65" i="8"/>
  <c r="BZ67" i="8" s="1"/>
  <c r="BZ69" i="8" s="1"/>
  <c r="C226" i="8"/>
  <c r="E148" i="8"/>
  <c r="H148" i="8" s="1"/>
  <c r="P143" i="8"/>
  <c r="S143" i="8" s="1"/>
  <c r="U143" i="8" s="1"/>
  <c r="H44" i="8"/>
  <c r="H45" i="8" s="1"/>
  <c r="H46" i="8" s="1"/>
  <c r="H43" i="8"/>
  <c r="BR55" i="8"/>
  <c r="C179" i="8" s="1"/>
  <c r="AF21" i="8"/>
  <c r="AF22" i="8" s="1"/>
  <c r="AF24" i="8" s="1"/>
  <c r="AC50" i="8"/>
  <c r="AC66" i="8" s="1"/>
  <c r="H73" i="8"/>
  <c r="H74" i="8"/>
  <c r="H75" i="8" s="1"/>
  <c r="H76" i="8" s="1"/>
  <c r="E65" i="8"/>
  <c r="H20" i="8" s="1"/>
  <c r="E42" i="8"/>
  <c r="BN21" i="8"/>
  <c r="BN23" i="8" s="1"/>
  <c r="AM26" i="8"/>
  <c r="AI28" i="8"/>
  <c r="AI36" i="8"/>
  <c r="AI37" i="8" s="1"/>
  <c r="B71" i="8"/>
  <c r="B72" i="8" s="1"/>
  <c r="L18" i="8"/>
  <c r="L22" i="8" s="1"/>
  <c r="L23" i="8" s="1"/>
  <c r="Z166" i="8"/>
  <c r="Z146" i="8"/>
  <c r="Z143" i="8"/>
  <c r="Z139" i="8"/>
  <c r="Z189" i="8"/>
  <c r="Z168" i="8"/>
  <c r="Z164" i="8"/>
  <c r="Z157" i="8"/>
  <c r="Z155" i="8"/>
  <c r="Z148" i="8"/>
  <c r="Z141" i="8"/>
  <c r="Z136" i="8"/>
  <c r="Z132" i="8"/>
  <c r="Z182" i="8"/>
  <c r="Z176" i="8"/>
  <c r="Z174" i="8"/>
  <c r="Z173" i="8"/>
  <c r="Z161" i="8"/>
  <c r="Z160" i="8"/>
  <c r="Z159" i="8"/>
  <c r="Z151" i="8"/>
  <c r="Z138" i="8"/>
  <c r="Z171" i="8"/>
  <c r="Z170" i="8"/>
  <c r="Z163" i="8"/>
  <c r="Z150" i="8"/>
  <c r="Z135" i="8"/>
  <c r="Z180" i="8"/>
  <c r="Z178" i="8"/>
  <c r="Z167" i="8"/>
  <c r="Z156" i="8"/>
  <c r="Z142" i="8"/>
  <c r="Z133" i="8"/>
  <c r="Z177" i="8"/>
  <c r="Z175" i="8"/>
  <c r="Z169" i="8"/>
  <c r="Z165" i="8"/>
  <c r="Z145" i="8"/>
  <c r="Z137" i="8"/>
  <c r="Z191" i="8"/>
  <c r="Z183" i="8"/>
  <c r="Z158" i="8"/>
  <c r="Z154" i="8"/>
  <c r="Z153" i="8"/>
  <c r="Z152" i="8"/>
  <c r="Z149" i="8"/>
  <c r="Z147" i="8"/>
  <c r="Z144" i="8"/>
  <c r="Z140" i="8"/>
  <c r="Z162" i="8"/>
  <c r="Z179" i="8"/>
  <c r="Z134" i="8"/>
  <c r="Z172" i="8"/>
  <c r="S184" i="8"/>
  <c r="U184" i="8" s="1"/>
  <c r="AQ30" i="8"/>
  <c r="AQ31" i="8" s="1"/>
  <c r="AQ33" i="8" s="1"/>
  <c r="AQ34" i="8" s="1"/>
  <c r="AQ26" i="8"/>
  <c r="AQ27" i="8" s="1"/>
  <c r="AQ28" i="8" s="1"/>
  <c r="X46" i="8"/>
  <c r="C172" i="8" s="1"/>
  <c r="BJ20" i="8"/>
  <c r="BJ22" i="8" s="1"/>
  <c r="BJ41" i="8"/>
  <c r="BR48" i="8"/>
  <c r="BR50" i="8" s="1"/>
  <c r="BR51" i="8"/>
  <c r="BB79" i="8"/>
  <c r="C162" i="8" s="1"/>
  <c r="AA45" i="7"/>
  <c r="C152" i="7" s="1"/>
  <c r="BD55" i="7"/>
  <c r="BS65" i="7" s="1"/>
  <c r="AQ73" i="7"/>
  <c r="C156" i="7"/>
  <c r="AU72" i="7"/>
  <c r="BI59" i="7"/>
  <c r="BI51" i="7"/>
  <c r="BI57" i="7"/>
  <c r="BI33" i="7"/>
  <c r="BI35" i="7"/>
  <c r="BI47" i="7"/>
  <c r="BM27" i="7"/>
  <c r="BM33" i="7" s="1"/>
  <c r="BM34" i="7" s="1"/>
  <c r="BI49" i="7"/>
  <c r="BI55" i="7"/>
  <c r="BI53" i="7"/>
  <c r="BI41" i="7"/>
  <c r="BI39" i="7"/>
  <c r="BI45" i="7"/>
  <c r="BI31" i="7"/>
  <c r="BM29" i="7"/>
  <c r="BM35" i="7" s="1"/>
  <c r="BM36" i="7" s="1"/>
  <c r="BM37" i="7" s="1"/>
  <c r="BI37" i="7"/>
  <c r="BI43" i="7"/>
  <c r="BI29" i="7"/>
  <c r="BM42" i="7" s="1"/>
  <c r="CV23" i="7"/>
  <c r="AQ32" i="7"/>
  <c r="AQ36" i="7" s="1"/>
  <c r="AQ38" i="7" s="1"/>
  <c r="AQ43" i="7" s="1"/>
  <c r="AQ30" i="7"/>
  <c r="AQ33" i="7" s="1"/>
  <c r="AQ42" i="7" s="1"/>
  <c r="AI44" i="7"/>
  <c r="AI45" i="7" s="1"/>
  <c r="AI46" i="7" s="1"/>
  <c r="AI43" i="7"/>
  <c r="S126" i="7"/>
  <c r="Q126" i="7"/>
  <c r="AQ60" i="7"/>
  <c r="AQ61" i="7" s="1"/>
  <c r="C142" i="7" s="1"/>
  <c r="AQ68" i="7"/>
  <c r="C141" i="7" s="1"/>
  <c r="BD45" i="7"/>
  <c r="BS53" i="7" s="1"/>
  <c r="BD44" i="7"/>
  <c r="BS54" i="7" s="1"/>
  <c r="BD50" i="7"/>
  <c r="V26" i="7"/>
  <c r="AM99" i="7"/>
  <c r="AZ45" i="7"/>
  <c r="AZ46" i="7" s="1"/>
  <c r="E54" i="7"/>
  <c r="E55" i="7"/>
  <c r="E56" i="7" s="1"/>
  <c r="E57" i="7" s="1"/>
  <c r="I69" i="7"/>
  <c r="C148" i="7" s="1"/>
  <c r="B38" i="7"/>
  <c r="B67" i="7" s="1"/>
  <c r="B51" i="7"/>
  <c r="E27" i="7"/>
  <c r="AZ29" i="7"/>
  <c r="AZ33" i="7" s="1"/>
  <c r="AZ41" i="7"/>
  <c r="BD60" i="7"/>
  <c r="BD61" i="7" s="1"/>
  <c r="BD62" i="7" s="1"/>
  <c r="BD67" i="7"/>
  <c r="M76" i="7"/>
  <c r="S96" i="7" s="1"/>
  <c r="C126" i="7" s="1"/>
  <c r="AU74" i="7"/>
  <c r="I74" i="7"/>
  <c r="I75" i="7" s="1"/>
  <c r="I76" i="7" s="1"/>
  <c r="O145" i="7" s="1"/>
  <c r="I37" i="7"/>
  <c r="I38" i="7" s="1"/>
  <c r="C149" i="7" s="1"/>
  <c r="AQ49" i="7"/>
  <c r="AQ51" i="7" s="1"/>
  <c r="AI57" i="7"/>
  <c r="AI58" i="7"/>
  <c r="AI59" i="7" s="1"/>
  <c r="AI61" i="7" s="1"/>
  <c r="AU56" i="7"/>
  <c r="AU57" i="7" s="1"/>
  <c r="AU58" i="7" s="1"/>
  <c r="CP28" i="7"/>
  <c r="CP32" i="7" s="1"/>
  <c r="CP19" i="7"/>
  <c r="CE66" i="7"/>
  <c r="CE60" i="7"/>
  <c r="CE57" i="7"/>
  <c r="CE64" i="7"/>
  <c r="CE58" i="7"/>
  <c r="CE68" i="7"/>
  <c r="CE56" i="7"/>
  <c r="CE41" i="7"/>
  <c r="CE39" i="7"/>
  <c r="CE26" i="7"/>
  <c r="CE22" i="7"/>
  <c r="CE18" i="7"/>
  <c r="CE15" i="7"/>
  <c r="CE51" i="7"/>
  <c r="CE31" i="7"/>
  <c r="CE30" i="7"/>
  <c r="CE27" i="7"/>
  <c r="CE19" i="7"/>
  <c r="CE49" i="7"/>
  <c r="CE33" i="7"/>
  <c r="CE47" i="7"/>
  <c r="CE48" i="7"/>
  <c r="CE25" i="7"/>
  <c r="CE16" i="7"/>
  <c r="CE24" i="7"/>
  <c r="CE50" i="7"/>
  <c r="CE45" i="7"/>
  <c r="CE43" i="7"/>
  <c r="CE40" i="7"/>
  <c r="CE36" i="7"/>
  <c r="CE34" i="7"/>
  <c r="CE29" i="7"/>
  <c r="CE28" i="7"/>
  <c r="CE23" i="7"/>
  <c r="CE20" i="7"/>
  <c r="CE17" i="7"/>
  <c r="CE54" i="7"/>
  <c r="CE46" i="7"/>
  <c r="CE42" i="7"/>
  <c r="CE14" i="7"/>
  <c r="CE32" i="7"/>
  <c r="CE52" i="7"/>
  <c r="CE44" i="7"/>
  <c r="CE38" i="7"/>
  <c r="CE37" i="7"/>
  <c r="CE21" i="7"/>
  <c r="CE35" i="7"/>
  <c r="E66" i="7"/>
  <c r="C124" i="7" s="1"/>
  <c r="C125" i="7"/>
  <c r="O121" i="7" s="1"/>
  <c r="V121" i="7" s="1"/>
  <c r="AE37" i="7"/>
  <c r="AE38" i="7" s="1"/>
  <c r="AE39" i="7" s="1"/>
  <c r="AE42" i="7" s="1"/>
  <c r="CV31" i="7"/>
  <c r="CV30" i="7"/>
  <c r="CV27" i="7"/>
  <c r="AD48" i="6"/>
  <c r="AD49" i="6"/>
  <c r="AD50" i="6" s="1"/>
  <c r="AD51" i="6" s="1"/>
  <c r="AD52" i="6" s="1"/>
  <c r="E127" i="6"/>
  <c r="AR56" i="6"/>
  <c r="AR57" i="6" s="1"/>
  <c r="AR58" i="6" s="1"/>
  <c r="AR63" i="6" s="1"/>
  <c r="AR59" i="6"/>
  <c r="AR60" i="6" s="1"/>
  <c r="AR61" i="6" s="1"/>
  <c r="AR64" i="6" s="1"/>
  <c r="I40" i="6"/>
  <c r="I42" i="6" s="1"/>
  <c r="L28" i="6"/>
  <c r="L30" i="6" s="1"/>
  <c r="O19" i="6" s="1"/>
  <c r="AH71" i="6"/>
  <c r="AH73" i="6" s="1"/>
  <c r="AH74" i="6" s="1"/>
  <c r="C121" i="6" s="1"/>
  <c r="AH64" i="6"/>
  <c r="AH65" i="6" s="1"/>
  <c r="AD78" i="6"/>
  <c r="AD77" i="6"/>
  <c r="AD79" i="6" s="1"/>
  <c r="AD80" i="6" s="1"/>
  <c r="AD81" i="6" s="1"/>
  <c r="AH54" i="6"/>
  <c r="AH55" i="6" s="1"/>
  <c r="AH56" i="6" s="1"/>
  <c r="AH57" i="6" s="1"/>
  <c r="AH58" i="6"/>
  <c r="AH60" i="6" s="1"/>
  <c r="AH61" i="6" s="1"/>
  <c r="AH62" i="6" s="1"/>
  <c r="C120" i="6" s="1"/>
  <c r="L53" i="6"/>
  <c r="L55" i="6" s="1"/>
  <c r="L46" i="6"/>
  <c r="L48" i="6" s="1"/>
  <c r="L51" i="6" s="1"/>
  <c r="AD63" i="6"/>
  <c r="AD64" i="6" s="1"/>
  <c r="AD83" i="6" s="1"/>
  <c r="C137" i="6" s="1"/>
  <c r="I33" i="6"/>
  <c r="I35" i="6" s="1"/>
  <c r="I66" i="6" s="1"/>
  <c r="I67" i="6" s="1"/>
  <c r="AR35" i="6"/>
  <c r="AR36" i="6" s="1"/>
  <c r="AR37" i="6" s="1"/>
  <c r="AR31" i="6"/>
  <c r="AR32" i="6" s="1"/>
  <c r="AR34" i="6" s="1"/>
  <c r="L41" i="6"/>
  <c r="F26" i="6"/>
  <c r="F55" i="6" s="1"/>
  <c r="F56" i="6" s="1"/>
  <c r="I23" i="6"/>
  <c r="AV74" i="6"/>
  <c r="I45" i="6"/>
  <c r="I47" i="6" s="1"/>
  <c r="C111" i="6"/>
  <c r="AH48" i="6"/>
  <c r="C112" i="6" s="1"/>
  <c r="L108" i="6" s="1"/>
  <c r="F36" i="6"/>
  <c r="F38" i="6" s="1"/>
  <c r="F48" i="6" s="1"/>
  <c r="E131" i="6"/>
  <c r="G131" i="6" s="1"/>
  <c r="L125" i="6"/>
  <c r="O125" i="6" s="1"/>
  <c r="Q125" i="6" s="1"/>
  <c r="L75" i="6"/>
  <c r="L77" i="6" s="1"/>
  <c r="L74" i="6"/>
  <c r="L80" i="6" s="1"/>
  <c r="AR43" i="6"/>
  <c r="I48" i="6"/>
  <c r="I50" i="6" s="1"/>
  <c r="Z49" i="6"/>
  <c r="Z53" i="6"/>
  <c r="AK22" i="6"/>
  <c r="AK21" i="6"/>
  <c r="I73" i="6"/>
  <c r="I80" i="6" s="1"/>
  <c r="O64" i="6"/>
  <c r="L65" i="6"/>
  <c r="AZ28" i="6"/>
  <c r="AZ29" i="6" s="1"/>
  <c r="AZ35" i="6" s="1"/>
  <c r="C125" i="6" s="1"/>
  <c r="AZ23" i="6"/>
  <c r="AZ24" i="6" s="1"/>
  <c r="C126" i="6" s="1"/>
  <c r="O37" i="6"/>
  <c r="O48" i="6" s="1"/>
  <c r="L141" i="6"/>
  <c r="O141" i="6" s="1"/>
  <c r="Q141" i="6" s="1"/>
  <c r="L136" i="6"/>
  <c r="O136" i="6" s="1"/>
  <c r="Q136" i="6" s="1"/>
  <c r="C141" i="6"/>
  <c r="C142" i="6"/>
  <c r="E142" i="6" s="1"/>
  <c r="G142" i="6" s="1"/>
  <c r="L135" i="6"/>
  <c r="O135" i="6" s="1"/>
  <c r="Q135" i="6" s="1"/>
  <c r="L139" i="6"/>
  <c r="O139" i="6" s="1"/>
  <c r="Q139" i="6" s="1"/>
  <c r="BN39" i="8" l="1"/>
  <c r="BN30" i="8"/>
  <c r="BN36" i="8" s="1"/>
  <c r="C165" i="8" s="1"/>
  <c r="BN25" i="8"/>
  <c r="BN26" i="8" s="1"/>
  <c r="C167" i="8" s="1"/>
  <c r="E162" i="8"/>
  <c r="H162" i="8" s="1"/>
  <c r="C237" i="8"/>
  <c r="P157" i="8"/>
  <c r="S157" i="8" s="1"/>
  <c r="U157" i="8" s="1"/>
  <c r="BZ70" i="8"/>
  <c r="CD66" i="8"/>
  <c r="CD67" i="8"/>
  <c r="CD65" i="8"/>
  <c r="CD70" i="8" s="1"/>
  <c r="CD71" i="8" s="1"/>
  <c r="CD72" i="8" s="1"/>
  <c r="CD73" i="8" s="1"/>
  <c r="S141" i="8"/>
  <c r="U141" i="8" s="1"/>
  <c r="O203" i="8"/>
  <c r="C247" i="8"/>
  <c r="E173" i="8"/>
  <c r="B199" i="8"/>
  <c r="P168" i="8"/>
  <c r="S168" i="8" s="1"/>
  <c r="U168" i="8" s="1"/>
  <c r="BR54" i="8"/>
  <c r="C180" i="8" s="1"/>
  <c r="L229" i="8" s="1"/>
  <c r="BJ35" i="8"/>
  <c r="B74" i="8"/>
  <c r="B75" i="8" s="1"/>
  <c r="B76" i="8" s="1"/>
  <c r="B73" i="8"/>
  <c r="L30" i="8"/>
  <c r="H21" i="8"/>
  <c r="C253" i="8"/>
  <c r="P175" i="8"/>
  <c r="E179" i="8"/>
  <c r="P174" i="8"/>
  <c r="S174" i="8" s="1"/>
  <c r="U174" i="8" s="1"/>
  <c r="E67" i="8"/>
  <c r="H82" i="8" s="1"/>
  <c r="C195" i="8"/>
  <c r="H152" i="8"/>
  <c r="D195" i="8" s="1"/>
  <c r="F250" i="8"/>
  <c r="BJ26" i="8"/>
  <c r="BJ30" i="8" s="1"/>
  <c r="BJ32" i="8" s="1"/>
  <c r="BJ37" i="8" s="1"/>
  <c r="C164" i="8" s="1"/>
  <c r="BJ23" i="8"/>
  <c r="BJ27" i="8" s="1"/>
  <c r="BJ36" i="8" s="1"/>
  <c r="C163" i="8" s="1"/>
  <c r="C233" i="8"/>
  <c r="E157" i="8"/>
  <c r="H157" i="8" s="1"/>
  <c r="P152" i="8"/>
  <c r="S152" i="8" s="1"/>
  <c r="U152" i="8" s="1"/>
  <c r="L24" i="8"/>
  <c r="L25" i="8"/>
  <c r="L26" i="8" s="1"/>
  <c r="L27" i="8" s="1"/>
  <c r="AQ35" i="8"/>
  <c r="C183" i="8" s="1"/>
  <c r="AQ36" i="8"/>
  <c r="AQ37" i="8" s="1"/>
  <c r="AQ38" i="8" s="1"/>
  <c r="C184" i="8" s="1"/>
  <c r="AC67" i="8"/>
  <c r="B269" i="8"/>
  <c r="B270" i="8" s="1"/>
  <c r="B271" i="8" s="1"/>
  <c r="AC75" i="8"/>
  <c r="AC76" i="8" s="1"/>
  <c r="C158" i="8" s="1"/>
  <c r="F226" i="8"/>
  <c r="AI92" i="8"/>
  <c r="AI93" i="8" s="1"/>
  <c r="C159" i="8"/>
  <c r="S147" i="8"/>
  <c r="U147" i="8" s="1"/>
  <c r="C246" i="8"/>
  <c r="E172" i="8"/>
  <c r="H172" i="8" s="1"/>
  <c r="O227" i="8"/>
  <c r="AI30" i="8"/>
  <c r="AI31" i="8" s="1"/>
  <c r="AI32" i="8" s="1"/>
  <c r="AI29" i="8"/>
  <c r="AF25" i="8"/>
  <c r="AF33" i="8"/>
  <c r="AF34" i="8" s="1"/>
  <c r="H176" i="8"/>
  <c r="BJ42" i="8"/>
  <c r="BJ43" i="8" s="1"/>
  <c r="BJ45" i="8" s="1"/>
  <c r="C168" i="8" s="1"/>
  <c r="AM29" i="8"/>
  <c r="AM30" i="8" s="1"/>
  <c r="AM31" i="8" s="1"/>
  <c r="AM34" i="8" s="1"/>
  <c r="BR52" i="8"/>
  <c r="BR56" i="8" s="1"/>
  <c r="F225" i="8"/>
  <c r="F228" i="8"/>
  <c r="AZ34" i="7"/>
  <c r="BD26" i="7"/>
  <c r="C143" i="7"/>
  <c r="BD41" i="7"/>
  <c r="BS55" i="7" s="1"/>
  <c r="E152" i="7"/>
  <c r="G152" i="7" s="1"/>
  <c r="C218" i="7"/>
  <c r="O148" i="7"/>
  <c r="AZ47" i="7"/>
  <c r="AZ48" i="7"/>
  <c r="AZ49" i="7" s="1"/>
  <c r="AZ50" i="7" s="1"/>
  <c r="S91" i="7"/>
  <c r="B53" i="7"/>
  <c r="AZ31" i="7"/>
  <c r="AZ64" i="7" s="1"/>
  <c r="AZ43" i="7"/>
  <c r="BI61" i="7"/>
  <c r="BI63" i="7" s="1"/>
  <c r="BI64" i="7" s="1"/>
  <c r="M78" i="7"/>
  <c r="B68" i="7"/>
  <c r="V35" i="7"/>
  <c r="V36" i="7" s="1"/>
  <c r="V27" i="7"/>
  <c r="O138" i="7"/>
  <c r="C210" i="7"/>
  <c r="E142" i="7"/>
  <c r="G142" i="7" s="1"/>
  <c r="L186" i="7"/>
  <c r="O144" i="7"/>
  <c r="BS62" i="7"/>
  <c r="E149" i="7"/>
  <c r="C215" i="7"/>
  <c r="E29" i="7"/>
  <c r="E37" i="7"/>
  <c r="E38" i="7" s="1"/>
  <c r="V145" i="7"/>
  <c r="B174" i="7" s="1"/>
  <c r="C138" i="7"/>
  <c r="J210" i="7" s="1"/>
  <c r="AQ41" i="7"/>
  <c r="BD38" i="7" s="1"/>
  <c r="BS50" i="7" s="1"/>
  <c r="C196" i="7"/>
  <c r="O122" i="7"/>
  <c r="E126" i="7"/>
  <c r="G126" i="7" s="1"/>
  <c r="L210" i="7"/>
  <c r="E148" i="7"/>
  <c r="BS61" i="7"/>
  <c r="C214" i="7"/>
  <c r="BD49" i="7"/>
  <c r="BS56" i="7" s="1"/>
  <c r="BD51" i="7"/>
  <c r="BD52" i="7" s="1"/>
  <c r="BS57" i="7" s="1"/>
  <c r="BM39" i="7"/>
  <c r="BS40" i="7"/>
  <c r="O153" i="7"/>
  <c r="E156" i="7"/>
  <c r="O154" i="7"/>
  <c r="C222" i="7"/>
  <c r="CV35" i="7"/>
  <c r="CV34" i="7"/>
  <c r="CV37" i="7" s="1"/>
  <c r="BM43" i="7"/>
  <c r="BM44" i="7" s="1"/>
  <c r="BR25" i="7" s="1"/>
  <c r="AE44" i="7"/>
  <c r="AE45" i="7" s="1"/>
  <c r="AE46" i="7" s="1"/>
  <c r="C112" i="7" s="1"/>
  <c r="AE43" i="7"/>
  <c r="C111" i="7" s="1"/>
  <c r="C155" i="7"/>
  <c r="AZ67" i="7"/>
  <c r="BS68" i="7" s="1"/>
  <c r="BD68" i="7"/>
  <c r="BD69" i="7" s="1"/>
  <c r="S138" i="7"/>
  <c r="Q138" i="7"/>
  <c r="AQ74" i="7"/>
  <c r="AQ75" i="7" s="1"/>
  <c r="C145" i="7" s="1"/>
  <c r="AQ72" i="7"/>
  <c r="C144" i="7" s="1"/>
  <c r="C195" i="7"/>
  <c r="O120" i="7"/>
  <c r="E124" i="7"/>
  <c r="G124" i="7" s="1"/>
  <c r="CP27" i="7"/>
  <c r="CP22" i="7"/>
  <c r="AI63" i="7"/>
  <c r="AI64" i="7" s="1"/>
  <c r="AI65" i="7" s="1"/>
  <c r="AI68" i="7" s="1"/>
  <c r="C160" i="7" s="1"/>
  <c r="AI62" i="7"/>
  <c r="AI67" i="7" s="1"/>
  <c r="C159" i="7" s="1"/>
  <c r="BD64" i="7"/>
  <c r="BD65" i="7" s="1"/>
  <c r="BD66" i="7" s="1"/>
  <c r="BD63" i="7"/>
  <c r="S137" i="7"/>
  <c r="Q137" i="7"/>
  <c r="C139" i="7"/>
  <c r="BD39" i="7"/>
  <c r="BS51" i="7" s="1"/>
  <c r="E141" i="7"/>
  <c r="G141" i="7" s="1"/>
  <c r="O137" i="7"/>
  <c r="C209" i="7"/>
  <c r="C140" i="7"/>
  <c r="BD40" i="7"/>
  <c r="BS52" i="7" s="1"/>
  <c r="Q148" i="7"/>
  <c r="I68" i="6"/>
  <c r="I69" i="6"/>
  <c r="I70" i="6" s="1"/>
  <c r="I71" i="6" s="1"/>
  <c r="L131" i="6"/>
  <c r="O131" i="6" s="1"/>
  <c r="Q131" i="6" s="1"/>
  <c r="E137" i="6"/>
  <c r="AK36" i="6"/>
  <c r="AK28" i="6"/>
  <c r="AK34" i="6"/>
  <c r="AK26" i="6"/>
  <c r="AK32" i="6"/>
  <c r="AK39" i="6"/>
  <c r="AK46" i="6" s="1"/>
  <c r="AK49" i="6"/>
  <c r="AK41" i="6"/>
  <c r="AK30" i="6"/>
  <c r="AK24" i="6"/>
  <c r="AK37" i="6" s="1"/>
  <c r="AK45" i="6" s="1"/>
  <c r="AK47" i="6" s="1"/>
  <c r="I82" i="6"/>
  <c r="I83" i="6" s="1"/>
  <c r="E126" i="6"/>
  <c r="G126" i="6" s="1"/>
  <c r="L122" i="6"/>
  <c r="O122" i="6" s="1"/>
  <c r="Q122" i="6" s="1"/>
  <c r="L116" i="6"/>
  <c r="O116" i="6" s="1"/>
  <c r="Q116" i="6" s="1"/>
  <c r="E120" i="6"/>
  <c r="G120" i="6" s="1"/>
  <c r="L121" i="6"/>
  <c r="O121" i="6" s="1"/>
  <c r="Q121" i="6" s="1"/>
  <c r="E125" i="6"/>
  <c r="G125" i="6" s="1"/>
  <c r="F49" i="6"/>
  <c r="E121" i="6"/>
  <c r="G121" i="6" s="1"/>
  <c r="L117" i="6"/>
  <c r="O117" i="6" s="1"/>
  <c r="Q117" i="6" s="1"/>
  <c r="O20" i="6"/>
  <c r="O30" i="6"/>
  <c r="O31" i="6" s="1"/>
  <c r="R42" i="6"/>
  <c r="O28" i="6"/>
  <c r="AR44" i="6"/>
  <c r="AR45" i="6" s="1"/>
  <c r="AR46" i="6" s="1"/>
  <c r="AR66" i="6" s="1"/>
  <c r="C96" i="6" s="1"/>
  <c r="E111" i="6"/>
  <c r="G111" i="6" s="1"/>
  <c r="L107" i="6"/>
  <c r="O107" i="6" s="1"/>
  <c r="Q107" i="6" s="1"/>
  <c r="G127" i="6"/>
  <c r="D155" i="6" s="1"/>
  <c r="C155" i="6"/>
  <c r="Z54" i="6"/>
  <c r="Z59" i="6"/>
  <c r="L49" i="6"/>
  <c r="L52" i="6" s="1"/>
  <c r="B155" i="6"/>
  <c r="B156" i="6"/>
  <c r="E141" i="6"/>
  <c r="G141" i="6" s="1"/>
  <c r="O65" i="6"/>
  <c r="R19" i="6" s="1"/>
  <c r="R29" i="6" s="1"/>
  <c r="R31" i="6" s="1"/>
  <c r="R32" i="6" s="1"/>
  <c r="C103" i="6" s="1"/>
  <c r="L81" i="6"/>
  <c r="L82" i="6" s="1"/>
  <c r="O27" i="6" s="1"/>
  <c r="R40" i="6" s="1"/>
  <c r="AD65" i="6"/>
  <c r="AD66" i="6" s="1"/>
  <c r="AD67" i="6" s="1"/>
  <c r="AD84" i="6" s="1"/>
  <c r="C138" i="6" s="1"/>
  <c r="AH67" i="6"/>
  <c r="AH68" i="6" s="1"/>
  <c r="AH69" i="6" s="1"/>
  <c r="C119" i="6" s="1"/>
  <c r="AH66" i="6"/>
  <c r="C118" i="6" s="1"/>
  <c r="E168" i="8" l="1"/>
  <c r="C243" i="8"/>
  <c r="B198" i="8"/>
  <c r="M222" i="8"/>
  <c r="C151" i="8"/>
  <c r="P146" i="8" s="1"/>
  <c r="H83" i="8"/>
  <c r="C150" i="8" s="1"/>
  <c r="F233" i="8"/>
  <c r="L31" i="8"/>
  <c r="L38" i="8"/>
  <c r="L39" i="8" s="1"/>
  <c r="C143" i="8" s="1"/>
  <c r="F247" i="8"/>
  <c r="P181" i="8"/>
  <c r="S181" i="8" s="1"/>
  <c r="U181" i="8" s="1"/>
  <c r="C258" i="8"/>
  <c r="E184" i="8"/>
  <c r="C238" i="8"/>
  <c r="P158" i="8"/>
  <c r="S158" i="8" s="1"/>
  <c r="U158" i="8" s="1"/>
  <c r="E163" i="8"/>
  <c r="H163" i="8" s="1"/>
  <c r="H23" i="8"/>
  <c r="H24" i="8" s="1"/>
  <c r="H25" i="8" s="1"/>
  <c r="H79" i="8" s="1"/>
  <c r="C138" i="8" s="1"/>
  <c r="H22" i="8"/>
  <c r="H78" i="8" s="1"/>
  <c r="C137" i="8" s="1"/>
  <c r="AC69" i="8"/>
  <c r="AC70" i="8" s="1"/>
  <c r="AC71" i="8" s="1"/>
  <c r="C156" i="8" s="1"/>
  <c r="AC68" i="8"/>
  <c r="C155" i="8" s="1"/>
  <c r="E164" i="8"/>
  <c r="C239" i="8"/>
  <c r="M201" i="8"/>
  <c r="P159" i="8"/>
  <c r="B197" i="8"/>
  <c r="F237" i="8"/>
  <c r="F246" i="8"/>
  <c r="H173" i="8"/>
  <c r="D199" i="8" s="1"/>
  <c r="C199" i="8"/>
  <c r="AF27" i="8"/>
  <c r="AF28" i="8" s="1"/>
  <c r="AF29" i="8" s="1"/>
  <c r="AF26" i="8"/>
  <c r="E159" i="8"/>
  <c r="H159" i="8" s="1"/>
  <c r="P154" i="8"/>
  <c r="S154" i="8" s="1"/>
  <c r="U154" i="8" s="1"/>
  <c r="C257" i="8"/>
  <c r="E183" i="8"/>
  <c r="H183" i="8" s="1"/>
  <c r="P180" i="8"/>
  <c r="S180" i="8" s="1"/>
  <c r="U180" i="8" s="1"/>
  <c r="H179" i="8"/>
  <c r="D201" i="8" s="1"/>
  <c r="C201" i="8"/>
  <c r="B200" i="8"/>
  <c r="S175" i="8"/>
  <c r="U175" i="8" s="1"/>
  <c r="P177" i="8"/>
  <c r="S177" i="8" s="1"/>
  <c r="U177" i="8" s="1"/>
  <c r="C254" i="8"/>
  <c r="E180" i="8"/>
  <c r="H180" i="8" s="1"/>
  <c r="P176" i="8"/>
  <c r="C242" i="8"/>
  <c r="P162" i="8"/>
  <c r="S162" i="8" s="1"/>
  <c r="U162" i="8" s="1"/>
  <c r="E167" i="8"/>
  <c r="M227" i="8"/>
  <c r="AM35" i="8"/>
  <c r="C133" i="8" s="1"/>
  <c r="AM36" i="8"/>
  <c r="AM37" i="8" s="1"/>
  <c r="AM38" i="8" s="1"/>
  <c r="C134" i="8" s="1"/>
  <c r="F253" i="8"/>
  <c r="C240" i="8"/>
  <c r="P160" i="8"/>
  <c r="S160" i="8" s="1"/>
  <c r="U160" i="8" s="1"/>
  <c r="E165" i="8"/>
  <c r="H165" i="8" s="1"/>
  <c r="C234" i="8"/>
  <c r="P153" i="8"/>
  <c r="S153" i="8" s="1"/>
  <c r="U153" i="8" s="1"/>
  <c r="E158" i="8"/>
  <c r="H158" i="8" s="1"/>
  <c r="BN44" i="8"/>
  <c r="BN45" i="8" s="1"/>
  <c r="C169" i="8" s="1"/>
  <c r="BN40" i="8"/>
  <c r="BN41" i="8" s="1"/>
  <c r="C166" i="8" s="1"/>
  <c r="E159" i="7"/>
  <c r="G159" i="7" s="1"/>
  <c r="C225" i="7"/>
  <c r="O157" i="7"/>
  <c r="N107" i="7"/>
  <c r="BU42" i="7"/>
  <c r="BU54" i="7"/>
  <c r="BU53" i="7"/>
  <c r="BU65" i="7"/>
  <c r="C182" i="7"/>
  <c r="E111" i="7"/>
  <c r="K185" i="7"/>
  <c r="F214" i="7"/>
  <c r="B69" i="7"/>
  <c r="E59" i="7" s="1"/>
  <c r="C115" i="7" s="1"/>
  <c r="B70" i="7"/>
  <c r="B71" i="7" s="1"/>
  <c r="B72" i="7" s="1"/>
  <c r="E60" i="7" s="1"/>
  <c r="C116" i="7" s="1"/>
  <c r="O112" i="7"/>
  <c r="K199" i="7"/>
  <c r="E112" i="7"/>
  <c r="G112" i="7" s="1"/>
  <c r="C183" i="7"/>
  <c r="BU61" i="7"/>
  <c r="G148" i="7"/>
  <c r="BI72" i="7"/>
  <c r="BI73" i="7" s="1"/>
  <c r="BS47" i="7" s="1"/>
  <c r="BI65" i="7"/>
  <c r="F218" i="7"/>
  <c r="CP31" i="7"/>
  <c r="S123" i="7"/>
  <c r="V123" i="7" s="1"/>
  <c r="Q123" i="7"/>
  <c r="BU40" i="7"/>
  <c r="E39" i="7"/>
  <c r="E40" i="7"/>
  <c r="E41" i="7" s="1"/>
  <c r="E42" i="7" s="1"/>
  <c r="F210" i="7"/>
  <c r="AZ36" i="7"/>
  <c r="AZ37" i="7" s="1"/>
  <c r="AZ38" i="7" s="1"/>
  <c r="AZ62" i="7" s="1"/>
  <c r="BS31" i="7" s="1"/>
  <c r="AZ35" i="7"/>
  <c r="AZ61" i="7" s="1"/>
  <c r="BS30" i="7" s="1"/>
  <c r="Q136" i="7"/>
  <c r="BU52" i="7"/>
  <c r="S136" i="7"/>
  <c r="S122" i="7"/>
  <c r="Q122" i="7"/>
  <c r="X138" i="7"/>
  <c r="Z138" i="7" s="1"/>
  <c r="V138" i="7"/>
  <c r="AZ65" i="7"/>
  <c r="BS41" i="7"/>
  <c r="O140" i="7"/>
  <c r="E144" i="7"/>
  <c r="O158" i="7"/>
  <c r="C226" i="7"/>
  <c r="E160" i="7"/>
  <c r="G156" i="7"/>
  <c r="C173" i="7"/>
  <c r="M86" i="7"/>
  <c r="M87" i="7" s="1"/>
  <c r="M79" i="7"/>
  <c r="X153" i="7"/>
  <c r="Z153" i="7" s="1"/>
  <c r="V153" i="7"/>
  <c r="C208" i="7"/>
  <c r="J184" i="7"/>
  <c r="E140" i="7"/>
  <c r="O136" i="7"/>
  <c r="BD70" i="7"/>
  <c r="BD75" i="7" s="1"/>
  <c r="BS72" i="7" s="1"/>
  <c r="BD71" i="7"/>
  <c r="BD72" i="7" s="1"/>
  <c r="BD73" i="7" s="1"/>
  <c r="X122" i="7"/>
  <c r="Z122" i="7" s="1"/>
  <c r="V122" i="7"/>
  <c r="F215" i="7"/>
  <c r="V28" i="7"/>
  <c r="V29" i="7"/>
  <c r="V30" i="7" s="1"/>
  <c r="V31" i="7" s="1"/>
  <c r="E63" i="7"/>
  <c r="BU55" i="7"/>
  <c r="Q139" i="7"/>
  <c r="X139" i="7" s="1"/>
  <c r="Z139" i="7" s="1"/>
  <c r="V154" i="7"/>
  <c r="X154" i="7"/>
  <c r="Z154" i="7" s="1"/>
  <c r="O134" i="7"/>
  <c r="C206" i="7"/>
  <c r="E138" i="7"/>
  <c r="G138" i="7" s="1"/>
  <c r="X144" i="7"/>
  <c r="Z144" i="7" s="1"/>
  <c r="V144" i="7"/>
  <c r="BU51" i="7"/>
  <c r="S135" i="7"/>
  <c r="Q135" i="7"/>
  <c r="E145" i="7"/>
  <c r="G145" i="7" s="1"/>
  <c r="O141" i="7"/>
  <c r="X148" i="7"/>
  <c r="Z148" i="7" s="1"/>
  <c r="V148" i="7"/>
  <c r="E139" i="7"/>
  <c r="G139" i="7" s="1"/>
  <c r="O135" i="7"/>
  <c r="C207" i="7"/>
  <c r="F209" i="7"/>
  <c r="X120" i="7"/>
  <c r="Z120" i="7" s="1"/>
  <c r="V120" i="7"/>
  <c r="Q151" i="7"/>
  <c r="O152" i="7"/>
  <c r="S151" i="7"/>
  <c r="BU68" i="7"/>
  <c r="BU57" i="7"/>
  <c r="S141" i="7"/>
  <c r="Q141" i="7"/>
  <c r="F196" i="7"/>
  <c r="BU62" i="7"/>
  <c r="G149" i="7"/>
  <c r="C135" i="7"/>
  <c r="S94" i="7"/>
  <c r="S95" i="7" s="1"/>
  <c r="S92" i="7"/>
  <c r="S93" i="7" s="1"/>
  <c r="C130" i="7" s="1"/>
  <c r="E143" i="7"/>
  <c r="C211" i="7"/>
  <c r="J205" i="7"/>
  <c r="X137" i="7"/>
  <c r="Z137" i="7" s="1"/>
  <c r="V137" i="7"/>
  <c r="BD76" i="7"/>
  <c r="BS73" i="7" s="1"/>
  <c r="F195" i="7"/>
  <c r="I212" i="7"/>
  <c r="C221" i="7"/>
  <c r="O151" i="7"/>
  <c r="E155" i="7"/>
  <c r="G155" i="7" s="1"/>
  <c r="D173" i="7" s="1"/>
  <c r="F222" i="7"/>
  <c r="S140" i="7"/>
  <c r="Q140" i="7"/>
  <c r="BU56" i="7"/>
  <c r="S134" i="7"/>
  <c r="Q134" i="7"/>
  <c r="BU50" i="7"/>
  <c r="W41" i="7"/>
  <c r="BD27" i="7"/>
  <c r="BD34" i="7"/>
  <c r="BD35" i="7" s="1"/>
  <c r="BS36" i="7" s="1"/>
  <c r="E103" i="6"/>
  <c r="G103" i="6" s="1"/>
  <c r="L99" i="6"/>
  <c r="O99" i="6" s="1"/>
  <c r="Q99" i="6" s="1"/>
  <c r="E96" i="6"/>
  <c r="B150" i="6"/>
  <c r="R36" i="6"/>
  <c r="C102" i="6" s="1"/>
  <c r="R41" i="6"/>
  <c r="C114" i="6" s="1"/>
  <c r="L110" i="6" s="1"/>
  <c r="C113" i="6"/>
  <c r="Z61" i="6"/>
  <c r="Z65" i="6"/>
  <c r="Z67" i="6" s="1"/>
  <c r="Z69" i="6" s="1"/>
  <c r="C134" i="6" s="1"/>
  <c r="O26" i="6"/>
  <c r="R37" i="6" s="1"/>
  <c r="R38" i="6" s="1"/>
  <c r="R39" i="6" s="1"/>
  <c r="C115" i="6" s="1"/>
  <c r="C109" i="6"/>
  <c r="R43" i="6"/>
  <c r="C110" i="6" s="1"/>
  <c r="L106" i="6" s="1"/>
  <c r="F50" i="6"/>
  <c r="F51" i="6"/>
  <c r="F52" i="6" s="1"/>
  <c r="F53" i="6" s="1"/>
  <c r="R49" i="6"/>
  <c r="R51" i="6" s="1"/>
  <c r="R52" i="6" s="1"/>
  <c r="C106" i="6" s="1"/>
  <c r="E138" i="6"/>
  <c r="L132" i="6"/>
  <c r="O132" i="6" s="1"/>
  <c r="Q132" i="6" s="1"/>
  <c r="R20" i="6"/>
  <c r="R26" i="6"/>
  <c r="R27" i="6" s="1"/>
  <c r="E118" i="6"/>
  <c r="G118" i="6" s="1"/>
  <c r="L114" i="6"/>
  <c r="O114" i="6" s="1"/>
  <c r="Q114" i="6" s="1"/>
  <c r="O22" i="6"/>
  <c r="O23" i="6" s="1"/>
  <c r="O24" i="6" s="1"/>
  <c r="O21" i="6"/>
  <c r="AK50" i="6"/>
  <c r="AR47" i="6"/>
  <c r="AR48" i="6" s="1"/>
  <c r="AR49" i="6" s="1"/>
  <c r="AR67" i="6" s="1"/>
  <c r="C97" i="6" s="1"/>
  <c r="E119" i="6"/>
  <c r="G119" i="6" s="1"/>
  <c r="L115" i="6"/>
  <c r="O115" i="6" s="1"/>
  <c r="Q115" i="6" s="1"/>
  <c r="G137" i="6"/>
  <c r="L202" i="8" l="1"/>
  <c r="G181" i="8" s="1"/>
  <c r="C216" i="8"/>
  <c r="E137" i="8"/>
  <c r="H137" i="8" s="1"/>
  <c r="P133" i="8"/>
  <c r="S133" i="8" s="1"/>
  <c r="U133" i="8" s="1"/>
  <c r="C217" i="8"/>
  <c r="E138" i="8"/>
  <c r="H138" i="8" s="1"/>
  <c r="C232" i="8"/>
  <c r="E156" i="8"/>
  <c r="H156" i="8" s="1"/>
  <c r="P151" i="8"/>
  <c r="S151" i="8" s="1"/>
  <c r="U151" i="8" s="1"/>
  <c r="F258" i="8"/>
  <c r="F240" i="8"/>
  <c r="F242" i="8"/>
  <c r="P145" i="8"/>
  <c r="C227" i="8"/>
  <c r="E150" i="8"/>
  <c r="H150" i="8" s="1"/>
  <c r="G198" i="8"/>
  <c r="G199" i="8" s="1"/>
  <c r="B194" i="8" s="1"/>
  <c r="L227" i="8"/>
  <c r="C241" i="8"/>
  <c r="E166" i="8"/>
  <c r="H166" i="8" s="1"/>
  <c r="M216" i="8"/>
  <c r="P161" i="8"/>
  <c r="S161" i="8" s="1"/>
  <c r="U161" i="8" s="1"/>
  <c r="S176" i="8"/>
  <c r="U176" i="8" s="1"/>
  <c r="B201" i="8"/>
  <c r="P164" i="8"/>
  <c r="E169" i="8"/>
  <c r="S159" i="8"/>
  <c r="U159" i="8" s="1"/>
  <c r="E134" i="8"/>
  <c r="H134" i="8" s="1"/>
  <c r="N216" i="8"/>
  <c r="C213" i="8"/>
  <c r="F254" i="8"/>
  <c r="E143" i="8"/>
  <c r="H143" i="8" s="1"/>
  <c r="C222" i="8"/>
  <c r="P138" i="8"/>
  <c r="S138" i="8" s="1"/>
  <c r="U138" i="8" s="1"/>
  <c r="P150" i="8"/>
  <c r="S150" i="8" s="1"/>
  <c r="U150" i="8" s="1"/>
  <c r="E155" i="8"/>
  <c r="H155" i="8" s="1"/>
  <c r="C231" i="8"/>
  <c r="N202" i="8"/>
  <c r="B192" i="8"/>
  <c r="C212" i="8"/>
  <c r="E133" i="8"/>
  <c r="F257" i="8"/>
  <c r="F239" i="8"/>
  <c r="L32" i="8"/>
  <c r="C141" i="8" s="1"/>
  <c r="L33" i="8"/>
  <c r="L34" i="8" s="1"/>
  <c r="L35" i="8" s="1"/>
  <c r="C142" i="8" s="1"/>
  <c r="F243" i="8"/>
  <c r="H167" i="8"/>
  <c r="D194" i="8" s="1"/>
  <c r="C194" i="8"/>
  <c r="H184" i="8"/>
  <c r="F234" i="8"/>
  <c r="H164" i="8"/>
  <c r="D197" i="8" s="1"/>
  <c r="C197" i="8"/>
  <c r="F238" i="8"/>
  <c r="H168" i="8"/>
  <c r="D198" i="8" s="1"/>
  <c r="C198" i="8"/>
  <c r="BU72" i="7"/>
  <c r="S157" i="7"/>
  <c r="X157" i="7" s="1"/>
  <c r="Z157" i="7" s="1"/>
  <c r="Q157" i="7"/>
  <c r="F206" i="7"/>
  <c r="S125" i="7"/>
  <c r="Q125" i="7"/>
  <c r="BU41" i="7"/>
  <c r="X134" i="7"/>
  <c r="Z134" i="7" s="1"/>
  <c r="V134" i="7"/>
  <c r="S124" i="7"/>
  <c r="Q124" i="7"/>
  <c r="Q111" i="7"/>
  <c r="X111" i="7" s="1"/>
  <c r="Z111" i="7" s="1"/>
  <c r="BU30" i="7"/>
  <c r="S112" i="7"/>
  <c r="X112" i="7" s="1"/>
  <c r="Z112" i="7" s="1"/>
  <c r="Q112" i="7"/>
  <c r="BU31" i="7"/>
  <c r="X151" i="7"/>
  <c r="Z151" i="7" s="1"/>
  <c r="V151" i="7"/>
  <c r="B173" i="7" s="1"/>
  <c r="X152" i="7"/>
  <c r="Z152" i="7" s="1"/>
  <c r="V152" i="7"/>
  <c r="X135" i="7"/>
  <c r="Z135" i="7" s="1"/>
  <c r="V135" i="7"/>
  <c r="F208" i="7"/>
  <c r="F226" i="7"/>
  <c r="CP36" i="7"/>
  <c r="CP35" i="7"/>
  <c r="F183" i="7"/>
  <c r="E116" i="7"/>
  <c r="G116" i="7" s="1"/>
  <c r="C187" i="7"/>
  <c r="E135" i="7"/>
  <c r="G135" i="7" s="1"/>
  <c r="O131" i="7"/>
  <c r="C203" i="7"/>
  <c r="C186" i="7"/>
  <c r="E115" i="7"/>
  <c r="G115" i="7" s="1"/>
  <c r="G160" i="7"/>
  <c r="F211" i="7"/>
  <c r="X158" i="7"/>
  <c r="Z158" i="7" s="1"/>
  <c r="Q164" i="7"/>
  <c r="W52" i="7"/>
  <c r="W53" i="7" s="1"/>
  <c r="C121" i="7" s="1"/>
  <c r="W42" i="7"/>
  <c r="F207" i="7"/>
  <c r="F221" i="7"/>
  <c r="G144" i="7"/>
  <c r="D172" i="7" s="1"/>
  <c r="C172" i="7"/>
  <c r="O161" i="7"/>
  <c r="O162" i="7"/>
  <c r="X145" i="7"/>
  <c r="Z145" i="7" s="1"/>
  <c r="Q158" i="7"/>
  <c r="S158" i="7"/>
  <c r="V158" i="7" s="1"/>
  <c r="BU73" i="7"/>
  <c r="C170" i="7"/>
  <c r="G140" i="7"/>
  <c r="D170" i="7" s="1"/>
  <c r="Q117" i="7"/>
  <c r="S117" i="7"/>
  <c r="BU36" i="7"/>
  <c r="G143" i="7"/>
  <c r="D171" i="7" s="1"/>
  <c r="C171" i="7"/>
  <c r="E64" i="7"/>
  <c r="C128" i="7" s="1"/>
  <c r="C129" i="7"/>
  <c r="O125" i="7" s="1"/>
  <c r="M80" i="7"/>
  <c r="C133" i="7" s="1"/>
  <c r="M81" i="7"/>
  <c r="M82" i="7" s="1"/>
  <c r="M83" i="7" s="1"/>
  <c r="C134" i="7" s="1"/>
  <c r="X140" i="7"/>
  <c r="Z140" i="7" s="1"/>
  <c r="V140" i="7"/>
  <c r="B172" i="7" s="1"/>
  <c r="BI66" i="7"/>
  <c r="BS45" i="7" s="1"/>
  <c r="BI67" i="7"/>
  <c r="BI68" i="7" s="1"/>
  <c r="BI69" i="7" s="1"/>
  <c r="BS46" i="7" s="1"/>
  <c r="G111" i="7"/>
  <c r="V157" i="7"/>
  <c r="BD28" i="7"/>
  <c r="BS34" i="7" s="1"/>
  <c r="BD29" i="7"/>
  <c r="BD30" i="7" s="1"/>
  <c r="BD31" i="7" s="1"/>
  <c r="BS35" i="7" s="1"/>
  <c r="E130" i="7"/>
  <c r="C198" i="7"/>
  <c r="O126" i="7"/>
  <c r="I193" i="7"/>
  <c r="X141" i="7"/>
  <c r="Z141" i="7" s="1"/>
  <c r="V141" i="7"/>
  <c r="X136" i="7"/>
  <c r="Z136" i="7" s="1"/>
  <c r="V136" i="7"/>
  <c r="B170" i="7" s="1"/>
  <c r="Q131" i="7"/>
  <c r="BU47" i="7"/>
  <c r="S131" i="7"/>
  <c r="V112" i="7"/>
  <c r="F182" i="7"/>
  <c r="F225" i="7"/>
  <c r="E97" i="6"/>
  <c r="G97" i="6" s="1"/>
  <c r="G138" i="6"/>
  <c r="E106" i="6"/>
  <c r="G106" i="6" s="1"/>
  <c r="L102" i="6"/>
  <c r="O102" i="6" s="1"/>
  <c r="Q102" i="6" s="1"/>
  <c r="E113" i="6"/>
  <c r="G113" i="6" s="1"/>
  <c r="L109" i="6"/>
  <c r="O109" i="6" s="1"/>
  <c r="Q109" i="6" s="1"/>
  <c r="B154" i="6"/>
  <c r="E115" i="6"/>
  <c r="L111" i="6"/>
  <c r="O111" i="6" s="1"/>
  <c r="Q111" i="6" s="1"/>
  <c r="E134" i="6"/>
  <c r="L128" i="6"/>
  <c r="O128" i="6" s="1"/>
  <c r="Q128" i="6" s="1"/>
  <c r="R22" i="6"/>
  <c r="R23" i="6" s="1"/>
  <c r="R24" i="6" s="1"/>
  <c r="R35" i="6" s="1"/>
  <c r="C101" i="6" s="1"/>
  <c r="R21" i="6"/>
  <c r="R34" i="6" s="1"/>
  <c r="C100" i="6" s="1"/>
  <c r="C150" i="6"/>
  <c r="G96" i="6"/>
  <c r="D150" i="6" s="1"/>
  <c r="E102" i="6"/>
  <c r="G102" i="6" s="1"/>
  <c r="L98" i="6"/>
  <c r="O98" i="6" s="1"/>
  <c r="Q98" i="6" s="1"/>
  <c r="L105" i="6"/>
  <c r="O105" i="6" s="1"/>
  <c r="Q105" i="6" s="1"/>
  <c r="E109" i="6"/>
  <c r="G109" i="6" s="1"/>
  <c r="G150" i="6" l="1"/>
  <c r="G151" i="6" s="1"/>
  <c r="B153" i="6" s="1"/>
  <c r="F216" i="8"/>
  <c r="F212" i="8"/>
  <c r="C221" i="8"/>
  <c r="C260" i="8" s="1"/>
  <c r="P137" i="8"/>
  <c r="E142" i="8"/>
  <c r="H142" i="8" s="1"/>
  <c r="L216" i="8"/>
  <c r="C220" i="8"/>
  <c r="G141" i="8"/>
  <c r="G220" i="8" s="1"/>
  <c r="E141" i="8"/>
  <c r="H141" i="8" s="1"/>
  <c r="C196" i="8"/>
  <c r="H169" i="8"/>
  <c r="D196" i="8" s="1"/>
  <c r="F231" i="8"/>
  <c r="S164" i="8"/>
  <c r="U164" i="8" s="1"/>
  <c r="B196" i="8"/>
  <c r="F217" i="8"/>
  <c r="C192" i="8"/>
  <c r="H133" i="8"/>
  <c r="D192" i="8" s="1"/>
  <c r="D193" i="8"/>
  <c r="F213" i="8"/>
  <c r="G155" i="8"/>
  <c r="G231" i="8" s="1"/>
  <c r="F227" i="8"/>
  <c r="F232" i="8"/>
  <c r="F222" i="8"/>
  <c r="F241" i="8"/>
  <c r="S145" i="8"/>
  <c r="U145" i="8" s="1"/>
  <c r="P187" i="8"/>
  <c r="G137" i="8"/>
  <c r="G216" i="8" s="1"/>
  <c r="X161" i="7"/>
  <c r="Z161" i="7" s="1"/>
  <c r="V161" i="7"/>
  <c r="B171" i="7" s="1"/>
  <c r="V125" i="7"/>
  <c r="B175" i="7"/>
  <c r="X126" i="7"/>
  <c r="Z126" i="7" s="1"/>
  <c r="V126" i="7"/>
  <c r="B169" i="7" s="1"/>
  <c r="O124" i="7"/>
  <c r="C197" i="7"/>
  <c r="E128" i="7"/>
  <c r="G128" i="7" s="1"/>
  <c r="I210" i="7"/>
  <c r="W44" i="7"/>
  <c r="W45" i="7" s="1"/>
  <c r="W46" i="7" s="1"/>
  <c r="C120" i="7" s="1"/>
  <c r="W43" i="7"/>
  <c r="C119" i="7" s="1"/>
  <c r="F187" i="7"/>
  <c r="E133" i="7"/>
  <c r="G133" i="7" s="1"/>
  <c r="O129" i="7"/>
  <c r="C201" i="7"/>
  <c r="F198" i="7"/>
  <c r="C169" i="7"/>
  <c r="G130" i="7"/>
  <c r="D169" i="7" s="1"/>
  <c r="C202" i="7"/>
  <c r="O130" i="7"/>
  <c r="E134" i="7"/>
  <c r="F203" i="7"/>
  <c r="X131" i="7"/>
  <c r="Z131" i="7" s="1"/>
  <c r="V131" i="7"/>
  <c r="C192" i="7"/>
  <c r="E121" i="7"/>
  <c r="G121" i="7" s="1"/>
  <c r="O117" i="7"/>
  <c r="S129" i="7"/>
  <c r="BU45" i="7"/>
  <c r="Q129" i="7"/>
  <c r="S116" i="7"/>
  <c r="Q116" i="7"/>
  <c r="BU35" i="7"/>
  <c r="F186" i="7"/>
  <c r="X162" i="7"/>
  <c r="Z162" i="7" s="1"/>
  <c r="V162" i="7"/>
  <c r="CP42" i="7"/>
  <c r="CV38" i="7" s="1"/>
  <c r="CP40" i="7"/>
  <c r="CP39" i="7"/>
  <c r="S130" i="7"/>
  <c r="Q130" i="7"/>
  <c r="Q163" i="7" s="1"/>
  <c r="BU46" i="7"/>
  <c r="Q115" i="7"/>
  <c r="X115" i="7" s="1"/>
  <c r="Z115" i="7" s="1"/>
  <c r="BU34" i="7"/>
  <c r="B152" i="6"/>
  <c r="E100" i="6"/>
  <c r="C144" i="6"/>
  <c r="E101" i="6"/>
  <c r="G101" i="6" s="1"/>
  <c r="L97" i="6"/>
  <c r="D151" i="6"/>
  <c r="C154" i="6"/>
  <c r="G115" i="6"/>
  <c r="D154" i="6" s="1"/>
  <c r="C153" i="6"/>
  <c r="G134" i="6"/>
  <c r="D153" i="6" s="1"/>
  <c r="C151" i="6"/>
  <c r="E250" i="8" l="1"/>
  <c r="E226" i="8"/>
  <c r="E225" i="8"/>
  <c r="E229" i="8" s="1"/>
  <c r="E228" i="8"/>
  <c r="E246" i="8"/>
  <c r="E233" i="8"/>
  <c r="E237" i="8"/>
  <c r="E247" i="8"/>
  <c r="E253" i="8"/>
  <c r="E257" i="8"/>
  <c r="E259" i="8" s="1"/>
  <c r="E238" i="8"/>
  <c r="E240" i="8"/>
  <c r="E234" i="8"/>
  <c r="E242" i="8"/>
  <c r="E243" i="8"/>
  <c r="E258" i="8"/>
  <c r="E254" i="8"/>
  <c r="E239" i="8"/>
  <c r="E216" i="8"/>
  <c r="E218" i="8" s="1"/>
  <c r="E213" i="8"/>
  <c r="E227" i="8"/>
  <c r="E232" i="8"/>
  <c r="E231" i="8"/>
  <c r="E217" i="8"/>
  <c r="E241" i="8"/>
  <c r="E222" i="8"/>
  <c r="E212" i="8"/>
  <c r="E214" i="8" s="1"/>
  <c r="C193" i="8"/>
  <c r="S137" i="8"/>
  <c r="U137" i="8" s="1"/>
  <c r="B193" i="8"/>
  <c r="B202" i="8" s="1"/>
  <c r="P188" i="8"/>
  <c r="P189" i="8" s="1"/>
  <c r="F221" i="8"/>
  <c r="E221" i="8"/>
  <c r="F220" i="8"/>
  <c r="E220" i="8"/>
  <c r="Q165" i="7"/>
  <c r="X124" i="7"/>
  <c r="Z124" i="7" s="1"/>
  <c r="V124" i="7"/>
  <c r="F192" i="7"/>
  <c r="O116" i="7"/>
  <c r="E120" i="7"/>
  <c r="G120" i="7" s="1"/>
  <c r="C191" i="7"/>
  <c r="I199" i="7"/>
  <c r="X130" i="7"/>
  <c r="Z130" i="7" s="1"/>
  <c r="V130" i="7"/>
  <c r="F201" i="7"/>
  <c r="X117" i="7"/>
  <c r="Z117" i="7" s="1"/>
  <c r="V117" i="7"/>
  <c r="F197" i="7"/>
  <c r="CV39" i="7"/>
  <c r="CZ16" i="7"/>
  <c r="CZ17" i="7"/>
  <c r="CZ15" i="7"/>
  <c r="E119" i="7"/>
  <c r="C190" i="7"/>
  <c r="I185" i="7"/>
  <c r="C162" i="7"/>
  <c r="G134" i="7"/>
  <c r="X129" i="7"/>
  <c r="Z129" i="7" s="1"/>
  <c r="V129" i="7"/>
  <c r="B166" i="7" s="1"/>
  <c r="F202" i="7"/>
  <c r="L144" i="6"/>
  <c r="C157" i="6" s="1"/>
  <c r="O97" i="6"/>
  <c r="Q97" i="6" s="1"/>
  <c r="G100" i="6"/>
  <c r="D152" i="6" s="1"/>
  <c r="C152" i="6"/>
  <c r="B151" i="6"/>
  <c r="B157" i="6" s="1"/>
  <c r="E255" i="8" l="1"/>
  <c r="E235" i="8"/>
  <c r="E244" i="8"/>
  <c r="E248" i="8"/>
  <c r="E223" i="8"/>
  <c r="X116" i="7"/>
  <c r="Z116" i="7" s="1"/>
  <c r="V116" i="7"/>
  <c r="B167" i="7" s="1"/>
  <c r="B176" i="7" s="1"/>
  <c r="D167" i="7"/>
  <c r="V165" i="7"/>
  <c r="V164" i="7"/>
  <c r="E162" i="7" s="1"/>
  <c r="E163" i="7" s="1"/>
  <c r="G166" i="7"/>
  <c r="G167" i="7" s="1"/>
  <c r="B168" i="7" s="1"/>
  <c r="G119" i="7"/>
  <c r="D166" i="7" s="1"/>
  <c r="C166" i="7"/>
  <c r="C167" i="7"/>
  <c r="F190" i="7"/>
  <c r="C228" i="7"/>
  <c r="E191" i="7" s="1"/>
  <c r="F191" i="7"/>
  <c r="E222" i="7" l="1"/>
  <c r="E195" i="7"/>
  <c r="E218" i="7"/>
  <c r="E196" i="7"/>
  <c r="E215" i="7"/>
  <c r="E210" i="7"/>
  <c r="E214" i="7"/>
  <c r="E216" i="7" s="1"/>
  <c r="E209" i="7"/>
  <c r="E221" i="7"/>
  <c r="E223" i="7" s="1"/>
  <c r="E208" i="7"/>
  <c r="E207" i="7"/>
  <c r="E183" i="7"/>
  <c r="E182" i="7"/>
  <c r="E184" i="7" s="1"/>
  <c r="E211" i="7"/>
  <c r="E225" i="7"/>
  <c r="E227" i="7" s="1"/>
  <c r="E206" i="7"/>
  <c r="E212" i="7" s="1"/>
  <c r="E226" i="7"/>
  <c r="E186" i="7"/>
  <c r="E188" i="7" s="1"/>
  <c r="E203" i="7"/>
  <c r="E198" i="7"/>
  <c r="E187" i="7"/>
  <c r="E202" i="7"/>
  <c r="E197" i="7"/>
  <c r="E201" i="7"/>
  <c r="E204" i="7" s="1"/>
  <c r="E192" i="7"/>
  <c r="E190" i="7"/>
  <c r="E193" i="7" s="1"/>
  <c r="V166" i="7"/>
  <c r="E199" i="7"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tc={E475EE9F-4A47-4CB7-BD65-71A0B964D3E8}</author>
  </authors>
  <commentList>
    <comment ref="I57" authorId="0" shapeId="0" xr:uid="{E475EE9F-4A47-4CB7-BD65-71A0B964D3E8}">
      <text>
        <t>[Threaded comment]
Your version of Excel allows you to read this threaded comment; however, any edits to it will get removed if the file is opened in a newer version of Excel. Learn more: https://go.microsoft.com/fwlink/?linkid=870924
Comment:
    https://idenyt.dk/huset/bad1/alt-hvad-du-behoever-at-vide-om-dit-toilet/</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tc={238A9B99-6A23-4803-A2F4-B8894BBDBBC9}</author>
    <author>tc={80A1419A-5BF0-41DB-9258-6D62B9E62A1E}</author>
    <author>tc={0CBF8410-5410-4CC9-878D-721986D63F4C}</author>
    <author>tc={508B245C-8646-433C-A92A-3E88650EFCFE}</author>
    <author>tc={52957C50-F3CC-4B66-9DFF-1EAC80716662}</author>
    <author>tc={62554C2E-842F-493F-92E5-9C27C526E772}</author>
    <author>tc={5DBC7CD7-B3CE-4509-9735-A6DC6ACFCD0F}</author>
    <author>tc={A251AB63-A229-45BC-8AFB-2F9854C64A27}</author>
    <author>tc={1C48B841-3C6A-40BF-9C15-E0446CD8C355}</author>
    <author>tc={D69110FE-D397-4FA4-9E56-D08C63F62E0B}</author>
    <author>tc={098C8DF3-14F2-4301-ABDA-3A08EDB3DEB1}</author>
    <author>tc={C401E915-0EFB-4C1E-9226-D845EF1B0B65}</author>
    <author>tc={F1DE81CF-A197-4E40-A18D-AD727351C6D4}</author>
    <author>tc={EB5ED197-5539-4C16-871B-FDB610D04CCF}</author>
    <author>tc={08A5C2B0-D4A9-4A1B-9253-2FEA61390D7B}</author>
    <author>tc={122A2E9A-AC71-4784-8CA3-7E6098283B3F}</author>
    <author>tc={FC5B8F24-4077-4F05-8650-B113B3427FAD}</author>
    <author>tc={B8AAF95D-FD4C-4A39-8E90-5416C52C63B9}</author>
    <author>tc={3B4E0E6E-877B-4812-AE32-1E4A3D5B5478}</author>
    <author>tc={1A4FD849-896E-4EF3-B343-A9833833DE50}</author>
    <author>tc={9A8FBDD7-DD41-4A82-92E2-A36A71473254}</author>
    <author>tc={A691C064-E661-4B9D-8D71-1D48BEA1E562}</author>
    <author>tc={39F9A29E-14D6-4E07-B448-9ED3254AD2BB}</author>
    <author>tc={F40D35E8-6084-4D1C-A4DE-D38A7122DA24}</author>
    <author>tc={CFF6443D-CF9B-45BA-BD61-8DF43FA16CB7}</author>
    <author>tc={1CBF6749-6D14-48D6-9312-16F78CD3F19D}</author>
    <author>tc={98A0CA93-5797-444B-82F1-C424BEF4145B}</author>
    <author>tc={58C594F4-EBF5-4A9E-AF4F-AD41467A462A}</author>
    <author>tc={D8FFB513-DFCF-43B9-8469-F442E0603AF8}</author>
    <author>tc={5431C3F4-BEA2-4474-AA1A-3B4D72C43CA9}</author>
    <author>tc={09845510-761B-474D-8416-E3E7FD09E56A}</author>
    <author>tc={61B7E007-EF5C-406D-AA9B-3A2681889FBF}</author>
    <author>tc={B7A6095B-DA3D-4325-B466-BCF4C1E49D78}</author>
    <author>tc={9E89D4FE-6393-43AF-AFAF-CCB732D6ADC0}</author>
    <author>tc={791A0418-9B15-4C6F-BF66-369997685A40}</author>
    <author>tc={4CA259AA-EB4F-469C-9858-DE3F81B3514F}</author>
    <author>tc={11B40F4C-A68F-4D00-80C5-6299DD6D459E}</author>
    <author>tc={D36A18E0-E5AF-4CF4-A7AA-72FAA8584719}</author>
    <author>tc={2B33BBAC-F216-46A1-BBDC-84AA4F405973}</author>
    <author>tc={3DA7CCF9-588B-42D3-930E-0DC114AC5E96}</author>
    <author>tc={5F1D1ED9-3939-4E4E-AFD4-A01971E4FDFF}</author>
    <author>tc={F25FCD62-0AB2-4EBB-84A3-015251D7ECBE}</author>
    <author>tc={C9EBCF5C-715A-4020-80A0-8158576A023A}</author>
    <author>tc={EF85CA42-1A5B-4CA6-A0F7-DCC7BE23BA89}</author>
    <author>tc={CD81402B-9292-4C0A-B050-13910A48F25F}</author>
    <author>tc={26BB1582-1857-45CA-8181-BA1AEF41FB73}</author>
    <author>tc={9CD8F0DE-6169-4114-A068-A0C438D47772}</author>
  </authors>
  <commentList>
    <comment ref="B5" authorId="0" shapeId="0" xr:uid="{238A9B99-6A23-4803-A2F4-B8894BBDBBC9}">
      <text>
        <t>[Threaded comment]
Your version of Excel allows you to read this threaded comment; however, any edits to it will get removed if the file is opened in a newer version of Excel. Learn more: https://go.microsoft.com/fwlink/?linkid=870924
Comment:
    The gate was embodied in the house</t>
      </text>
    </comment>
    <comment ref="J6" authorId="1" shapeId="0" xr:uid="{80A1419A-5BF0-41DB-9258-6D62B9E62A1E}">
      <text>
        <t>[Threaded comment]
Your version of Excel allows you to read this threaded comment; however, any edits to it will get removed if the file is opened in a newer version of Excel. Learn more: https://go.microsoft.com/fwlink/?linkid=870924
Comment:
    https://www.byggebilligt.dk/images/pdf/Maalskema.pdf</t>
      </text>
    </comment>
    <comment ref="BI6" authorId="2" shapeId="0" xr:uid="{0CBF8410-5410-4CC9-878D-721986D63F4C}">
      <text>
        <t xml:space="preserve">[Threaded comment]
Your version of Excel allows you to read this threaded comment; however, any edits to it will get removed if the file is opened in a newer version of Excel. Learn more: https://go.microsoft.com/fwlink/?linkid=870924
Comment:
    Kilde [42] side 42 
Hvor man i 1880’erne kun havde (koldt) vand i køkken, (udvendigt) afløb fra køkkenvask og måske gas indlagt til madlavning, voksede mængden af installationer i boligbyggeriet efter 1880’erne.  
Derfor antages det at der var blevet indlagt vand i 1890 i den gennemsnitlige bolig </t>
      </text>
    </comment>
    <comment ref="J7" authorId="3" shapeId="0" xr:uid="{508B245C-8646-433C-A92A-3E88650EFCFE}">
      <text>
        <t>[Threaded comment]
Your version of Excel allows you to read this threaded comment; however, any edits to it will get removed if the file is opened in a newer version of Excel. Learn more: https://go.microsoft.com/fwlink/?linkid=870924
Comment:
    https://www.bolius.dk/valg-af-nye-termoruder-16770</t>
      </text>
    </comment>
    <comment ref="I8" authorId="4" shapeId="0" xr:uid="{52957C50-F3CC-4B66-9DFF-1EAC80716662}">
      <text>
        <t>[Threaded comment]
Your version of Excel allows you to read this threaded comment; however, any edits to it will get removed if the file is opened in a newer version of Excel. Learn more: https://go.microsoft.com/fwlink/?linkid=870924
Comment:
    https://www.engineeringtoolbox.com/density-solids-d_1265.html</t>
      </text>
    </comment>
    <comment ref="BI8" authorId="5" shapeId="0" xr:uid="{62554C2E-842F-493F-92E5-9C27C526E772}">
      <text>
        <t xml:space="preserve">[Threaded comment]
Your version of Excel allows you to read this threaded comment; however, any edits to it will get removed if the file is opened in a newer version of Excel. Learn more: https://go.microsoft.com/fwlink/?linkid=870924
Comment:
    DST årbog 1928 
sde 27 tabel 28 
</t>
      </text>
    </comment>
    <comment ref="E11" authorId="6" shapeId="0" xr:uid="{5DBC7CD7-B3CE-4509-9735-A6DC6ACFCD0F}">
      <text>
        <t>[Threaded comment]
Your version of Excel allows you to read this threaded comment; however, any edits to it will get removed if the file is opened in a newer version of Excel. Learn more: https://go.microsoft.com/fwlink/?linkid=870924
Comment:
    [33] side 7 - litteratur overblik</t>
      </text>
    </comment>
    <comment ref="I11" authorId="7" shapeId="0" xr:uid="{A251AB63-A229-45BC-8AFB-2F9854C64A27}">
      <text>
        <t>[Threaded comment]
Your version of Excel allows you to read this threaded comment; however, any edits to it will get removed if the file is opened in a newer version of Excel. Learn more: https://go.microsoft.com/fwlink/?linkid=870924
Comment:
    https://www.serviceindeogude.dk/praktiske-goremal-udfores/affaldstyper-sorteringsvejledning-affaldsfraktioner/guide-hvad-vejer-affald/</t>
      </text>
    </comment>
    <comment ref="BI11" authorId="8" shapeId="0" xr:uid="{1C48B841-3C6A-40BF-9C15-E0446CD8C355}">
      <text>
        <t>[Threaded comment]
Your version of Excel allows you to read this threaded comment; however, any edits to it will get removed if the file is opened in a newer version of Excel. Learn more: https://go.microsoft.com/fwlink/?linkid=870924
Comment:
    https://www.danva.dk/media/2668/vejledning-nr-60-plast_rapport_ver171.pdf</t>
      </text>
    </comment>
    <comment ref="E12" authorId="9" shapeId="0" xr:uid="{D69110FE-D397-4FA4-9E56-D08C63F62E0B}">
      <text>
        <t>[Threaded comment]
Your version of Excel allows you to read this threaded comment; however, any edits to it will get removed if the file is opened in a newer version of Excel. Learn more: https://go.microsoft.com/fwlink/?linkid=870924
Comment:
    https://grat.dk/info/8-vaegtfaktor-skema</t>
      </text>
    </comment>
    <comment ref="AR17" authorId="10" shapeId="0" xr:uid="{098C8DF3-14F2-4301-ABDA-3A08EDB3DEB1}">
      <text>
        <t>[Threaded comment]
Your version of Excel allows you to read this threaded comment; however, any edits to it will get removed if the file is opened in a newer version of Excel. Learn more: https://go.microsoft.com/fwlink/?linkid=870924
Comment:
    https://slks.dk/fileadmin/user_upload/SLKS/Omraader/Kulturarv/Bygningsfredning/Gode_raad_om_vedligeholdelse/3.1_Fundamenter.pdf</t>
      </text>
    </comment>
    <comment ref="BE17" authorId="11" shapeId="0" xr:uid="{C401E915-0EFB-4C1E-9226-D845EF1B0B65}">
      <text>
        <t>[Threaded comment]
Your version of Excel allows you to read this threaded comment; however, any edits to it will get removed if the file is opened in a newer version of Excel. Learn more: https://go.microsoft.com/fwlink/?linkid=870924
Comment:
    https://www.trae.dk/leksikon/holdbarhed-levetider-for-trae/</t>
      </text>
    </comment>
    <comment ref="AY18" authorId="12" shapeId="0" xr:uid="{F1DE81CF-A197-4E40-A18D-AD727351C6D4}">
      <text>
        <t>[Threaded comment]
Your version of Excel allows you to read this threaded comment; however, any edits to it will get removed if the file is opened in a newer version of Excel. Learn more: https://go.microsoft.com/fwlink/?linkid=870924
Comment:
    Dansk byggeskik page 109</t>
      </text>
    </comment>
    <comment ref="V19" authorId="13" shapeId="0" xr:uid="{EB5ED197-5539-4C16-871B-FDB610D04CCF}">
      <text>
        <t>[Threaded comment]
Your version of Excel allows you to read this threaded comment; however, any edits to it will get removed if the file is opened in a newer version of Excel. Learn more: https://go.microsoft.com/fwlink/?linkid=870924
Comment:
    Kilde [40]</t>
      </text>
    </comment>
    <comment ref="V20" authorId="14" shapeId="0" xr:uid="{08A5C2B0-D4A9-4A1B-9253-2FEA61390D7B}">
      <text>
        <t xml:space="preserve">[Threaded comment]
Your version of Excel allows you to read this threaded comment; however, any edits to it will get removed if the file is opened in a newer version of Excel. Learn more: https://go.microsoft.com/fwlink/?linkid=870924
Comment:
    Kilde [44]
</t>
      </text>
    </comment>
    <comment ref="AD20" authorId="15" shapeId="0" xr:uid="{122A2E9A-AC71-4784-8CA3-7E6098283B3F}">
      <text>
        <t>[Threaded comment]
Your version of Excel allows you to read this threaded comment; however, any edits to it will get removed if the file is opened in a newer version of Excel. Learn more: https://go.microsoft.com/fwlink/?linkid=870924
Comment:
    Dette er et estimat, da der ikke er tegninger der vider hele huset med skorsten</t>
      </text>
    </comment>
    <comment ref="AR20" authorId="16" shapeId="0" xr:uid="{FC5B8F24-4077-4F05-8650-B113B3427FAD}">
      <text>
        <t>[Threaded comment]
Your version of Excel allows you to read this threaded comment; however, any edits to it will get removed if the file is opened in a newer version of Excel. Learn more: https://go.microsoft.com/fwlink/?linkid=870924
Comment:
    https://falkegranit.dk/marksten-302/kampesten-p8600</t>
      </text>
    </comment>
    <comment ref="AR21" authorId="17" shapeId="0" xr:uid="{B8AAF95D-FD4C-4A39-8E90-5416C52C63B9}">
      <text>
        <t>[Threaded comment]
Your version of Excel allows you to read this threaded comment; however, any edits to it will get removed if the file is opened in a newer version of Excel. Learn more: https://go.microsoft.com/fwlink/?linkid=870924
Comment:
    https://falkegranit.dk/marksten-302/kampesten-p8600</t>
      </text>
    </comment>
    <comment ref="AR22" authorId="18" shapeId="0" xr:uid="{3B4E0E6E-877B-4812-AE32-1E4A3D5B5478}">
      <text>
        <t xml:space="preserve">[Threaded comment]
Your version of Excel allows you to read this threaded comment; however, any edits to it will get removed if the file is opened in a newer version of Excel. Learn more: https://go.microsoft.com/fwlink/?linkid=870924
Comment:
    Estimeret til at være 30 cm, da det eneste mål fundet, siger større end huset </t>
      </text>
    </comment>
    <comment ref="H23" authorId="19" shapeId="0" xr:uid="{1A4FD849-896E-4EF3-B343-A9833833DE50}">
      <text>
        <t>[Threaded comment]
Your version of Excel allows you to read this threaded comment; however, any edits to it will get removed if the file is opened in a newer version of Excel. Learn more: https://go.microsoft.com/fwlink/?linkid=870924
Comment:
    Calculated for a Trapez</t>
      </text>
    </comment>
    <comment ref="AR24" authorId="20" shapeId="0" xr:uid="{9A8FBDD7-DD41-4A82-92E2-A36A71473254}">
      <text>
        <t xml:space="preserve">[Threaded comment]
Your version of Excel allows you to read this threaded comment; however, any edits to it will get removed if the file is opened in a newer version of Excel. Learn more: https://go.microsoft.com/fwlink/?linkid=870924
Comment:
    Da det ikke er muligt at finde et forhold, mellem sten og mørtel, estimeres det, at det er det samme som mursten og mørtel </t>
      </text>
    </comment>
    <comment ref="AY26" authorId="21" shapeId="0" xr:uid="{A691C064-E661-4B9D-8D71-1D48BEA1E562}">
      <text>
        <t>[Threaded comment]
Your version of Excel allows you to read this threaded comment; however, any edits to it will get removed if the file is opened in a newer version of Excel. Learn more: https://go.microsoft.com/fwlink/?linkid=870924
Comment:
    Dank byggeskik page 109</t>
      </text>
    </comment>
    <comment ref="Q28" authorId="22" shapeId="0" xr:uid="{39F9A29E-14D6-4E07-B448-9ED3254AD2BB}">
      <text>
        <t>[Threaded comment]
Your version of Excel allows you to read this threaded comment; however, any edits to it will get removed if the file is opened in a newer version of Excel. Learn more: https://go.microsoft.com/fwlink/?linkid=870924
Comment:
    The motor for the facade is only on the brick area</t>
      </text>
    </comment>
    <comment ref="AU28" authorId="23" shapeId="0" xr:uid="{F40D35E8-6084-4D1C-A4DE-D38A7122DA24}">
      <text>
        <t>[Threaded comment]
Your version of Excel allows you to read this threaded comment; however, any edits to it will get removed if the file is opened in a newer version of Excel. Learn more: https://go.microsoft.com/fwlink/?linkid=870924
Comment:
    It is assumed that they are placed with 1 meters distance</t>
      </text>
    </comment>
    <comment ref="R30" authorId="24" shapeId="0" xr:uid="{CFF6443D-CF9B-45BA-BD61-8DF43FA16CB7}">
      <text>
        <t>[Threaded comment]
Your version of Excel allows you to read this threaded comment; however, any edits to it will get removed if the file is opened in a newer version of Excel. Learn more: https://go.microsoft.com/fwlink/?linkid=870924
Comment:
    Based on values from The Old Town of Aarhus</t>
      </text>
    </comment>
    <comment ref="AU30" authorId="25" shapeId="0" xr:uid="{1CBF6749-6D14-48D6-9312-16F78CD3F19D}">
      <text>
        <t>[Threaded comment]
Your version of Excel allows you to read this threaded comment; however, any edits to it will get removed if the file is opened in a newer version of Excel. Learn more: https://go.microsoft.com/fwlink/?linkid=870924
Comment:
    https://www.engineeringtoolbox.com/metal-alloys-densities-d_50.html</t>
      </text>
    </comment>
    <comment ref="N32" authorId="26" shapeId="0" xr:uid="{98A0CA93-5797-444B-82F1-C424BEF4145B}">
      <text>
        <t>[Threaded comment]
Your version of Excel allows you to read this threaded comment; however, any edits to it will get removed if the file is opened in a newer version of Excel. Learn more: https://go.microsoft.com/fwlink/?linkid=870924
Comment:
    Here it is assumed that the bays on the front and backside is similar, therefore only the bay with the door calculations are changed for this side</t>
      </text>
    </comment>
    <comment ref="AQ33" authorId="27" shapeId="0" xr:uid="{58C594F4-EBF5-4A9E-AF4F-AD41467A462A}">
      <text>
        <t>[Threaded comment]
Your version of Excel allows you to read this threaded comment; however, any edits to it will get removed if the file is opened in a newer version of Excel. Learn more: https://go.microsoft.com/fwlink/?linkid=870924
Comment:
    Det antages at kampestenen er lavet af granit
Reply:
    https://web.archive.org/web/20170831000357/http://www.edumine.com/xtoolkit/tables/sgtables.htm</t>
      </text>
    </comment>
    <comment ref="Q34" authorId="28" shapeId="0" xr:uid="{D8FFB513-DFCF-43B9-8469-F442E0603AF8}">
      <text>
        <t>[Threaded comment]
Your version of Excel allows you to read this threaded comment; however, any edits to it will get removed if the file is opened in a newer version of Excel. Learn more: https://go.microsoft.com/fwlink/?linkid=870924
Comment:
    It is assumed that the gable side is similar in both ends</t>
      </text>
    </comment>
    <comment ref="Z35" authorId="29" shapeId="0" xr:uid="{5431C3F4-BEA2-4474-AA1A-3B4D72C43CA9}">
      <text>
        <t>[Threaded comment]
Your version of Excel allows you to read this threaded comment; however, any edits to it will get removed if the file is opened in a newer version of Excel. Learn more: https://go.microsoft.com/fwlink/?linkid=870924
Comment:
    Dette tal kommer fra O1860 huset, da det er der det bedste estimat på tykkelsen af et trin</t>
      </text>
    </comment>
    <comment ref="AD35" authorId="30" shapeId="0" xr:uid="{09845510-761B-474D-8416-E3E7FD09E56A}">
      <text>
        <t xml:space="preserve">[Threaded comment]
Your version of Excel allows you to read this threaded comment; however, any edits to it will get removed if the file is opened in a newer version of Excel. Learn more: https://go.microsoft.com/fwlink/?linkid=870924
Comment:
    talt på tegningen </t>
      </text>
    </comment>
    <comment ref="AJ44" authorId="31" shapeId="0" xr:uid="{61B7E007-EF5C-406D-AA9B-3A2681889FBF}">
      <text>
        <t>[Threaded comment]
Your version of Excel allows you to read this threaded comment; however, any edits to it will get removed if the file is opened in a newer version of Excel. Learn more: https://go.microsoft.com/fwlink/?linkid=870924
Comment:
    Based in door/ wall relationship from ground floor</t>
      </text>
    </comment>
    <comment ref="A45" authorId="32" shapeId="0" xr:uid="{B7A6095B-DA3D-4325-B466-BCF4C1E49D78}">
      <text>
        <t>[Threaded comment]
Your version of Excel allows you to read this threaded comment; however, any edits to it will get removed if the file is opened in a newer version of Excel. Learn more: https://go.microsoft.com/fwlink/?linkid=870924
Comment:
    In the floor area the partitions are neglected</t>
      </text>
    </comment>
    <comment ref="V45" authorId="33" shapeId="0" xr:uid="{9E89D4FE-6393-43AF-AFAF-CCB732D6ADC0}">
      <text>
        <t xml:space="preserve">[Threaded comment]
Your version of Excel allows you to read this threaded comment; however, any edits to it will get removed if the file is opened in a newer version of Excel. Learn more: https://go.microsoft.com/fwlink/?linkid=870924
Comment:
    De to i enderne er der taget højde for i udregningen for gavlen </t>
      </text>
    </comment>
    <comment ref="R50" authorId="34" shapeId="0" xr:uid="{791A0418-9B15-4C6F-BF66-369997685A40}">
      <text>
        <t>[Threaded comment]
Your version of Excel allows you to read this threaded comment; however, any edits to it will get removed if the file is opened in a newer version of Excel. Learn more: https://go.microsoft.com/fwlink/?linkid=870924
Comment:
    Based on values from The Old Town of Aarhus</t>
      </text>
    </comment>
    <comment ref="AG50" authorId="35" shapeId="0" xr:uid="{4CA259AA-EB4F-469C-9858-DE3F81B3514F}">
      <text>
        <t>[Threaded comment]
Your version of Excel allows you to read this threaded comment; however, any edits to it will get removed if the file is opened in a newer version of Excel. Learn more: https://go.microsoft.com/fwlink/?linkid=870924
Comment:
    It is assumed that a horisontal beam is placed with 1 meters distance and a vertical beam is placed between the horisontal beams</t>
      </text>
    </comment>
    <comment ref="AG53" authorId="36" shapeId="0" xr:uid="{11B40F4C-A68F-4D00-80C5-6299DD6D459E}">
      <text>
        <t>[Threaded comment]
Your version of Excel allows you to read this threaded comment; however, any edits to it will get removed if the file is opened in a newer version of Excel. Learn more: https://go.microsoft.com/fwlink/?linkid=870924
Comment:
    Since a beam will take up 17 cm it is incoroprated in the the calculations</t>
      </text>
    </comment>
    <comment ref="V56" authorId="37" shapeId="0" xr:uid="{D36A18E0-E5AF-4CF4-A7AA-72FAA8584719}">
      <text>
        <t>[Threaded comment]
Your version of Excel allows you to read this threaded comment; however, any edits to it will get removed if the file is opened in a newer version of Excel. Learn more: https://go.microsoft.com/fwlink/?linkid=870924
Comment:
    De der ikke kunne findes konkrete mål fra bygningen, er der blevet benyttet standart mål for en taglægte http://www.traeinfo.dk/uploads/2011/08/BB01_-Laegtning_af_tage.pdf</t>
      </text>
    </comment>
    <comment ref="A58" authorId="38" shapeId="0" xr:uid="{2B33BBAC-F216-46A1-BBDC-84AA4F405973}">
      <text>
        <t xml:space="preserve">[Threaded comment]
Your version of Excel allows you to read this threaded comment; however, any edits to it will get removed if the file is opened in a newer version of Excel. Learn more: https://go.microsoft.com/fwlink/?linkid=870924
Comment:
    Hvor væggene og ildstedet er trukket fra </t>
      </text>
    </comment>
    <comment ref="AQ63" authorId="39" shapeId="0" xr:uid="{3DA7CCF9-588B-42D3-930E-0DC114AC5E96}">
      <text>
        <t xml:space="preserve">[Threaded comment]
Your version of Excel allows you to read this threaded comment; however, any edits to it will get removed if the file is opened in a newer version of Excel. Learn more: https://go.microsoft.com/fwlink/?linkid=870924
Comment:
    Da det ikke er muligt at se højden på den højre side, antages det at den er den samme som på venstre side </t>
      </text>
    </comment>
    <comment ref="AQ64" authorId="40" shapeId="0" xr:uid="{5F1D1ED9-3939-4E4E-AFD4-A01971E4FDFF}">
      <text>
        <t xml:space="preserve">[Threaded comment]
Your version of Excel allows you to read this threaded comment; however, any edits to it will get removed if the file is opened in a newer version of Excel. Learn more: https://go.microsoft.com/fwlink/?linkid=870924
Comment:
    Da det ikke er muligt at se højden på den højre side, antages det at den er den samme som på venstre side </t>
      </text>
    </comment>
    <comment ref="BD66" authorId="41" shapeId="0" xr:uid="{F25FCD62-0AB2-4EBB-84A3-015251D7ECBE}">
      <text>
        <t>[Threaded comment]
Your version of Excel allows you to read this threaded comment; however, any edits to it will get removed if the file is opened in a newer version of Excel. Learn more: https://go.microsoft.com/fwlink/?linkid=870924
Comment:
    https://idenyt.dk/huset/bad1/alt-hvad-du-behoever-at-vide-om-dit-toilet/</t>
      </text>
    </comment>
    <comment ref="AG73" authorId="42" shapeId="0" xr:uid="{C9EBCF5C-715A-4020-80A0-8158576A023A}">
      <text>
        <t>[Threaded comment]
Your version of Excel allows you to read this threaded comment; however, any edits to it will get removed if the file is opened in a newer version of Excel. Learn more: https://go.microsoft.com/fwlink/?linkid=870924
Comment:
    Partitions plaster area is multiplided with 2 since there are 2 sides</t>
      </text>
    </comment>
    <comment ref="J104" authorId="43" shapeId="0" xr:uid="{EF85CA42-1A5B-4CA6-A0F7-DCC7BE23BA89}">
      <text>
        <t>[Threaded comment]
Your version of Excel allows you to read this threaded comment; however, any edits to it will get removed if the file is opened in a newer version of Excel. Learn more: https://go.microsoft.com/fwlink/?linkid=870924
Comment:
    Disse tal skal laves om til enheden m3</t>
      </text>
    </comment>
    <comment ref="A108" authorId="44" shapeId="0" xr:uid="{CD81402B-9292-4C0A-B050-13910A48F25F}">
      <text>
        <t>[Threaded comment]
Your version of Excel allows you to read this threaded comment; however, any edits to it will get removed if the file is opened in a newer version of Excel. Learn more: https://go.microsoft.com/fwlink/?linkid=870924
Comment:
    Disse tal skal laves om til enheden m3</t>
      </text>
    </comment>
    <comment ref="L136" authorId="45" shapeId="0" xr:uid="{26BB1582-1857-45CA-8181-BA1AEF41FB73}">
      <text>
        <t>[Threaded comment]
Your version of Excel allows you to read this threaded comment; however, any edits to it will get removed if the file is opened in a newer version of Excel. Learn more: https://go.microsoft.com/fwlink/?linkid=870924
Comment:
    Found from the single familiy house from 2010’s</t>
      </text>
    </comment>
    <comment ref="J150" authorId="46" shapeId="0" xr:uid="{9CD8F0DE-6169-4114-A068-A0C438D47772}">
      <text>
        <t>[Threaded comment]
Your version of Excel allows you to read this threaded comment; however, any edits to it will get removed if the file is opened in a newer version of Excel. Learn more: https://go.microsoft.com/fwlink/?linkid=870924
Comment:
    https://otv.dk/vidensbank/plasttyper/pp-polypropylen/</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tc={C2D991FD-5DDF-4B41-899F-6C52CD97D009}</author>
    <author>tc={E9D11B84-7848-44CF-9BE5-C0EC3738EE25}</author>
    <author>tc={AE055DA4-D609-47C9-A289-36DDB5DAB0C1}</author>
    <author>tc={10C566BA-7A4F-4708-B4BB-B1217BBE6C04}</author>
    <author>tc={7D5FDFE1-9E9E-4B26-A37D-0A96ED76D065}</author>
    <author>tc={A8262FAD-2E6B-44FC-9C5D-6F1597A99BB9}</author>
    <author>tc={C6258C80-0FB7-436D-A0B7-FB846E115F91}</author>
    <author>tc={F84851C2-89DB-490F-A6BB-9BDE28E6D068}</author>
    <author>tc={CCF7C6C5-0F9C-4B61-B016-78C2D6BF039C}</author>
    <author>tc={2B60E104-E252-4D9F-BBA0-6335DE4930AE}</author>
    <author>tc={40738561-A7FA-40ED-B431-042851638066}</author>
    <author>tc={04181AA5-537A-4F46-A148-BA508451885A}</author>
    <author>tc={34893B63-FB1F-4944-933E-7BC51F05F0C2}</author>
    <author>tc={3DAAED85-83B9-40AC-BFA0-87AD0AA8C199}</author>
    <author>tc={616AFDAA-7B52-423E-913C-F1E1BF49A6EA}</author>
    <author>tc={AFC94551-6EEB-43CB-8FBA-0EE2A979FA07}</author>
    <author>tc={16DF44C8-33F1-478D-BA17-394CEB045CA4}</author>
    <author>tc={B3201D11-237D-4504-AA77-29F67C67FD25}</author>
    <author>tc={89BC9556-0AA1-4EEC-8EB5-88CD3E3AF8F3}</author>
    <author>tc={705912CE-D1E3-4901-AEC5-523C16362E22}</author>
    <author>tc={9D298739-D5D4-46BD-A59F-6D7A833575BF}</author>
    <author>tc={84056559-040D-41A2-8C66-C5A963F3ABE4}</author>
    <author>tc={50B2CCC6-CE17-415E-87A7-AF9F9EDB8551}</author>
    <author>tc={41C5BC4C-CD48-443D-ADD3-49B2C3469CF0}</author>
    <author>tc={EBE34067-24A8-43AF-B87C-DA7E5CAEDAE8}</author>
    <author>tc={6D39E2E4-6CEA-451C-9EA2-F8C757C5FF42}</author>
    <author>tc={4E417E2A-9C20-44F5-8A80-243AA84BAA8F}</author>
    <author>tc={82AFDE86-BB94-43E0-A698-4646C1EE731F}</author>
    <author>tc={DE96E08F-5287-42A5-9E35-FE48522E9C62}</author>
    <author>tc={3033918F-5000-404E-B9F3-FC5C0303E836}</author>
    <author>tc={55B0D56D-2B39-47C6-80A2-975428B21929}</author>
    <author>tc={F8B3DE14-2EAC-4C35-9CD8-DFAF607D2173}</author>
    <author>tc={5343729F-1C9C-414D-A3CA-9B2B86669999}</author>
    <author>tc={621A5271-A4BC-4786-950E-062FCE211FF1}</author>
    <author>tc={D27EA116-D385-46EC-8D0D-F58B1F227A87}</author>
    <author>tc={D0C88F3B-454F-4286-985A-CA5588E02291}</author>
    <author>tc={B77DB1C7-4B0D-4922-9665-4278C4056A05}</author>
    <author>tc={FA1B4190-A2DE-4379-BE4B-00584472F9BC}</author>
    <author>tc={42485309-6D64-4FCF-B334-42452CC3F38F}</author>
    <author>tc={E40C427A-BA57-46E7-970F-A8E4553B6092}</author>
    <author>tc={74F5688D-1E6F-48AE-BABE-C305A4BF718E}</author>
    <author>tc={8862111D-F661-449D-93AE-AF8A0528A21A}</author>
    <author>tc={3F70DC29-7330-460C-BDD0-87227E989E5C}</author>
    <author>tc={F099DDAB-91CE-4B5A-8C6D-34703198C314}</author>
    <author>tc={3007045B-8A0C-45DE-B5F7-0B5E940A310F}</author>
    <author>tc={DAE9BE79-0528-4A1D-92D0-C56E88166961}</author>
    <author>tc={FD082B81-2F91-4D85-B6A0-13AC2C8B66CC}</author>
    <author>tc={085081C1-CE23-440F-B481-6E28DA6CB772}</author>
    <author>tc={B44EA4A8-EA4D-4D8F-A7C6-785EDDDD4F89}</author>
    <author>tc={E219079D-AA22-407A-A9E9-82C472824633}</author>
    <author>tc={B4CE038D-EB68-40C3-A573-857D7F96D835}</author>
    <author>tc={65E73DFD-5939-4B8F-8BE9-8506CD58F8B0}</author>
    <author>tc={9F87B12F-EDE0-47FB-A790-815ED134FBDF}</author>
    <author>tc={DF5AEEE4-D7DA-4A5B-97AA-B126415D6931}</author>
    <author>tc={C883919F-2894-405C-A89C-DDC82ADA3A64}</author>
    <author>tc={C8CC18FB-69E9-49A7-ACF9-A51C66356CF0}</author>
    <author>tc={835B3B4B-C737-4C66-AAC6-49CFD248F614}</author>
  </authors>
  <commentList>
    <comment ref="B5" authorId="0" shapeId="0" xr:uid="{C2D991FD-5DDF-4B41-899F-6C52CD97D009}">
      <text>
        <t>[Threaded comment]
Your version of Excel allows you to read this threaded comment; however, any edits to it will get removed if the file is opened in a newer version of Excel. Learn more: https://go.microsoft.com/fwlink/?linkid=870924
Comment:
    The gate was embodied in the house</t>
      </text>
    </comment>
    <comment ref="CJ8" authorId="1" shapeId="0" xr:uid="{E9D11B84-7848-44CF-9BE5-C0EC3738EE25}">
      <text>
        <t xml:space="preserve">[Threaded comment]
Your version of Excel allows you to read this threaded comment; however, any edits to it will get removed if the file is opened in a newer version of Excel. Learn more: https://go.microsoft.com/fwlink/?linkid=870924
Comment:
    Kilde [42] side 42 
Hvor man i 1880’erne kun havde (koldt) vand i køkken, (udvendigt) afløb fra køkkenvask og måske gas indlagt til madlavning, voksede mængden af installationer i boligbyggeriet efter 1880’erne.  
Derfor antages det at der var blevet indlagt vand i 1890 i den gennemsnitlige bolig </t>
      </text>
    </comment>
    <comment ref="CJ10" authorId="2" shapeId="0" xr:uid="{AE055DA4-D609-47C9-A289-36DDB5DAB0C1}">
      <text>
        <t xml:space="preserve">[Threaded comment]
Your version of Excel allows you to read this threaded comment; however, any edits to it will get removed if the file is opened in a newer version of Excel. Learn more: https://go.microsoft.com/fwlink/?linkid=870924
Comment:
    DST årbog 1928 
sde 27 tabel 28 
</t>
      </text>
    </comment>
    <comment ref="E11" authorId="3" shapeId="0" xr:uid="{10C566BA-7A4F-4708-B4BB-B1217BBE6C04}">
      <text>
        <t>[Threaded comment]
Your version of Excel allows you to read this threaded comment; however, any edits to it will get removed if the file is opened in a newer version of Excel. Learn more: https://go.microsoft.com/fwlink/?linkid=870924
Comment:
    [33] side 7 - litteratur overblik</t>
      </text>
    </comment>
    <comment ref="E12" authorId="4" shapeId="0" xr:uid="{7D5FDFE1-9E9E-4B26-A37D-0A96ED76D065}">
      <text>
        <t>[Threaded comment]
Your version of Excel allows you to read this threaded comment; however, any edits to it will get removed if the file is opened in a newer version of Excel. Learn more: https://go.microsoft.com/fwlink/?linkid=870924
Comment:
    https://grat.dk/info/8-vaegtfaktor-skema</t>
      </text>
    </comment>
    <comment ref="CJ13" authorId="5" shapeId="0" xr:uid="{A8262FAD-2E6B-44FC-9C5D-6F1597A99BB9}">
      <text>
        <t>[Threaded comment]
Your version of Excel allows you to read this threaded comment; however, any edits to it will get removed if the file is opened in a newer version of Excel. Learn more: https://go.microsoft.com/fwlink/?linkid=870924
Comment:
    https://www.danva.dk/media/2668/vejledning-nr-60-plast_rapport_ver171.pdf</t>
      </text>
    </comment>
    <comment ref="F14" authorId="6" shapeId="0" xr:uid="{C6258C80-0FB7-436D-A0B7-FB846E115F91}">
      <text>
        <t>[Threaded comment]
Your version of Excel allows you to read this threaded comment; however, any edits to it will get removed if the file is opened in a newer version of Excel. Learn more: https://go.microsoft.com/fwlink/?linkid=870924
Comment:
    https://www.byggebilligt.dk/images/pdf/Maalskema.pdf</t>
      </text>
    </comment>
    <comment ref="F15" authorId="7" shapeId="0" xr:uid="{F84851C2-89DB-490F-A6BB-9BDE28E6D068}">
      <text>
        <t>[Threaded comment]
Your version of Excel allows you to read this threaded comment; however, any edits to it will get removed if the file is opened in a newer version of Excel. Learn more: https://go.microsoft.com/fwlink/?linkid=870924
Comment:
    https://www.bolius.dk/valg-af-nye-termoruder-16770</t>
      </text>
    </comment>
    <comment ref="E16" authorId="8" shapeId="0" xr:uid="{CCF7C6C5-0F9C-4B61-B016-78C2D6BF039C}">
      <text>
        <t>[Threaded comment]
Your version of Excel allows you to read this threaded comment; however, any edits to it will get removed if the file is opened in a newer version of Excel. Learn more: https://go.microsoft.com/fwlink/?linkid=870924
Comment:
    https://www.engineeringtoolbox.com/density-solids-d_1265.html</t>
      </text>
    </comment>
    <comment ref="CD18" authorId="9" shapeId="0" xr:uid="{2B60E104-E252-4D9F-BBA0-6335DE4930AE}">
      <text>
        <t>[Threaded comment]
Your version of Excel allows you to read this threaded comment; however, any edits to it will get removed if the file is opened in a newer version of Excel. Learn more: https://go.microsoft.com/fwlink/?linkid=870924
Comment:
    https://www.trae.dk/leksikon/holdbarhed-levetider-for-trae/</t>
      </text>
    </comment>
    <comment ref="A20" authorId="10" shapeId="0" xr:uid="{40738561-A7FA-40ED-B431-042851638066}">
      <text>
        <t>[Threaded comment]
Your version of Excel allows you to read this threaded comment; however, any edits to it will get removed if the file is opened in a newer version of Excel. Learn more: https://go.microsoft.com/fwlink/?linkid=870924
Comment:
    In the floor area the partitions are neglected</t>
      </text>
    </comment>
    <comment ref="CJ21" authorId="11" shapeId="0" xr:uid="{04181AA5-537A-4F46-A148-BA508451885A}">
      <text>
        <t>[Threaded comment]
Your version of Excel allows you to read this threaded comment; however, any edits to it will get removed if the file is opened in a newer version of Excel. Learn more: https://go.microsoft.com/fwlink/?linkid=870924
Comment:
    https://www.serviceindeogude.dk/praktiske-goremal-udfores/affaldstyper-sorteringsvejledning-affaldsfraktioner/guide-hvad-vejer-affald/</t>
      </text>
    </comment>
    <comment ref="L24" authorId="12" shapeId="0" xr:uid="{34893B63-FB1F-4944-933E-7BC51F05F0C2}">
      <text>
        <t>[Threaded comment]
Your version of Excel allows you to read this threaded comment; however, any edits to it will get removed if the file is opened in a newer version of Excel. Learn more: https://go.microsoft.com/fwlink/?linkid=870924
Comment:
    It is assumed that the walls facing the gable side is taken into account in the exterior wall calculations</t>
      </text>
    </comment>
    <comment ref="Z25" authorId="13" shapeId="0" xr:uid="{3DAAED85-83B9-40AC-BFA0-87AD0AA8C199}">
      <text>
        <t xml:space="preserve">[Threaded comment]
Your version of Excel allows you to read this threaded comment; however, any edits to it will get removed if the file is opened in a newer version of Excel. Learn more: https://go.microsoft.com/fwlink/?linkid=870924
Comment:
    Det antages at begge trapper er ens, da det ikke er til at regne på en trappe, der går rundt </t>
      </text>
    </comment>
    <comment ref="A26" authorId="14" shapeId="0" xr:uid="{616AFDAA-7B52-423E-913C-F1E1BF49A6EA}">
      <text>
        <t>[Threaded comment]
Your version of Excel allows you to read this threaded comment; however, any edits to it will get removed if the file is opened in a newer version of Excel. Learn more: https://go.microsoft.com/fwlink/?linkid=870924
Comment:
    The first floor was added later</t>
      </text>
    </comment>
    <comment ref="I26" authorId="15" shapeId="0" xr:uid="{AFC94551-6EEB-43CB-8FBA-0EE2A979FA07}">
      <text>
        <t>[Threaded comment]
Your version of Excel allows you to read this threaded comment; however, any edits to it will get removed if the file is opened in a newer version of Excel. Learn more: https://go.microsoft.com/fwlink/?linkid=870924
Comment:
    Kilde [40]</t>
      </text>
    </comment>
    <comment ref="I27" authorId="16" shapeId="0" xr:uid="{16DF44C8-33F1-478D-BA17-394CEB045CA4}">
      <text>
        <t xml:space="preserve">[Threaded comment]
Your version of Excel allows you to read this threaded comment; however, any edits to it will get removed if the file is opened in a newer version of Excel. Learn more: https://go.microsoft.com/fwlink/?linkid=870924
Comment:
    Kilde [44]
</t>
      </text>
    </comment>
    <comment ref="AY27" authorId="17" shapeId="0" xr:uid="{B3201D11-237D-4504-AA77-29F67C67FD25}">
      <text>
        <t>[Threaded comment]
Your version of Excel allows you to read this threaded comment; however, any edits to it will get removed if the file is opened in a newer version of Excel. Learn more: https://go.microsoft.com/fwlink/?linkid=870924
Comment:
    It is assumed that the ground floor and new first floor has the same scale in size og height</t>
      </text>
    </comment>
    <comment ref="AD28" authorId="18" shapeId="0" xr:uid="{89BC9556-0AA1-4EEC-8EB5-88CD3E3AF8F3}">
      <text>
        <t xml:space="preserve">[Threaded comment]
Your version of Excel allows you to read this threaded comment; however, any edits to it will get removed if the file is opened in a newer version of Excel. Learn more: https://go.microsoft.com/fwlink/?linkid=870924
Comment:
    sokkel
</t>
      </text>
    </comment>
    <comment ref="AM29" authorId="19" shapeId="0" xr:uid="{705912CE-D1E3-4901-AEC5-523C16362E22}">
      <text>
        <t xml:space="preserve">[Threaded comment]
Your version of Excel allows you to read this threaded comment; however, any edits to it will get removed if the file is opened in a newer version of Excel. Learn more: https://go.microsoft.com/fwlink/?linkid=870924
Comment:
    Opgivet på plantegningen fra den gamle by
</t>
      </text>
    </comment>
    <comment ref="AY29" authorId="20" shapeId="0" xr:uid="{9D298739-D5D4-46BD-A59F-6D7A833575BF}">
      <text>
        <t>[Threaded comment]
Your version of Excel allows you to read this threaded comment; however, any edits to it will get removed if the file is opened in a newer version of Excel. Learn more: https://go.microsoft.com/fwlink/?linkid=870924
Comment:
    It is assumed that the windows has the same size</t>
      </text>
    </comment>
    <comment ref="AH31" authorId="21" shapeId="0" xr:uid="{84056559-040D-41A2-8C66-C5A963F3ABE4}">
      <text>
        <t>[Threaded comment]
Your version of Excel allows you to read this threaded comment; however, any edits to it will get removed if the file is opened in a newer version of Excel. Learn more: https://go.microsoft.com/fwlink/?linkid=870924
Comment:
    Denne antagelse bliver lavet, da det ikke er muligt at se en skorsten på huset, hverken før eller efter påsættelsen af den ekstra etage. Derfor antages en højde på 0.4 m, 
der er angivet af miljøministeriet. 
https://braendefyringsportalen.dk/borger/problemer-med-roeg/reglerne/krav-til-nye-skorstene/</t>
      </text>
    </comment>
    <comment ref="AP31" authorId="22" shapeId="0" xr:uid="{50B2CCC6-CE17-415E-87A7-AF9F9EDB8551}">
      <text>
        <t>[Threaded comment]
Your version of Excel allows you to read this threaded comment; however, any edits to it will get removed if the file is opened in a newer version of Excel. Learn more: https://go.microsoft.com/fwlink/?linkid=870924
Comment:
    It is assumed that 2 pugging boards are left out in order to make the stairs</t>
      </text>
    </comment>
    <comment ref="AA32" authorId="23" shapeId="0" xr:uid="{41C5BC4C-CD48-443D-ADD3-49B2C3469CF0}">
      <text>
        <t>[Threaded comment]
Your version of Excel allows you to read this threaded comment; however, any edits to it will get removed if the file is opened in a newer version of Excel. Learn more: https://go.microsoft.com/fwlink/?linkid=870924
Comment:
    Kommer fra plantegningen, højden er den uden sokkel</t>
      </text>
    </comment>
    <comment ref="U33" authorId="24" shapeId="0" xr:uid="{EBE34067-24A8-43AF-B87C-DA7E5CAEDAE8}">
      <text>
        <t>[Threaded comment]
Your version of Excel allows you to read this threaded comment; however, any edits to it will get removed if the file is opened in a newer version of Excel. Learn more: https://go.microsoft.com/fwlink/?linkid=870924
Comment:
    The thickness is provided by information form The Old City of Aarhus</t>
      </text>
    </comment>
    <comment ref="BC33" authorId="25" shapeId="0" xr:uid="{6D39E2E4-6CEA-451C-9EA2-F8C757C5FF42}">
      <text>
        <t>[Threaded comment]
Your version of Excel allows you to read this threaded comment; however, any edits to it will get removed if the file is opened in a newer version of Excel. Learn more: https://go.microsoft.com/fwlink/?linkid=870924
Comment:
    The thickness is provided by information form The Old City of Aarhus</t>
      </text>
    </comment>
    <comment ref="AA34" authorId="26" shapeId="0" xr:uid="{4E417E2A-9C20-44F5-8A80-243AA84BAA8F}">
      <text>
        <t>[Threaded comment]
Your version of Excel allows you to read this threaded comment; however, any edits to it will get removed if the file is opened in a newer version of Excel. Learn more: https://go.microsoft.com/fwlink/?linkid=870924
Comment:
    Det antages at bagpladen på trappen er lige så tyk som et trappetrin</t>
      </text>
    </comment>
    <comment ref="AA35" authorId="27" shapeId="0" xr:uid="{82AFDE86-BB94-43E0-A698-4646C1EE731F}">
      <text>
        <t>[Threaded comment]
Your version of Excel allows you to read this threaded comment; however, any edits to it will get removed if the file is opened in a newer version of Excel. Learn more: https://go.microsoft.com/fwlink/?linkid=870924
Comment:
    Det antages at afstanden mellem to trin er det samme som i huset fra overgade 52</t>
      </text>
    </comment>
    <comment ref="AP35" authorId="28" shapeId="0" xr:uid="{DE96E08F-5287-42A5-9E35-FE48522E9C62}">
      <text>
        <t>[Threaded comment]
Your version of Excel allows you to read this threaded comment; however, any edits to it will get removed if the file is opened in a newer version of Excel. Learn more: https://go.microsoft.com/fwlink/?linkid=870924
Comment:
    Dansk byggeskik page 109</t>
      </text>
    </comment>
    <comment ref="AA37" authorId="29" shapeId="0" xr:uid="{3033918F-5000-404E-B9F3-FC5C0303E836}">
      <text>
        <t xml:space="preserve">[Threaded comment]
Your version of Excel allows you to read this threaded comment; however, any edits to it will get removed if the file is opened in a newer version of Excel. Learn more: https://go.microsoft.com/fwlink/?linkid=870924
Comment:
    Dette er mål i huset på overgade 52 og det antages at det er en standard </t>
      </text>
    </comment>
    <comment ref="AP37" authorId="30" shapeId="0" xr:uid="{55B0D56D-2B39-47C6-80A2-975428B21929}">
      <text>
        <t>[Threaded comment]
Your version of Excel allows you to read this threaded comment; however, any edits to it will get removed if the file is opened in a newer version of Excel. Learn more: https://go.microsoft.com/fwlink/?linkid=870924
Comment:
    https://www.engineeringtoolbox.com/dirt-mud-densities-d_1727.html Wet clay</t>
      </text>
    </comment>
    <comment ref="BQ38" authorId="31" shapeId="0" xr:uid="{F8B3DE14-2EAC-4C35-9CD8-DFAF607D2173}">
      <text>
        <t>[Threaded comment]
Your version of Excel allows you to read this threaded comment; however, any edits to it will get removed if the file is opened in a newer version of Excel. Learn more: https://go.microsoft.com/fwlink/?linkid=870924
Comment:
    Disse tal skal laves om til enheden m3</t>
      </text>
    </comment>
    <comment ref="AA39" authorId="32" shapeId="0" xr:uid="{5343729F-1C9C-414D-A3CA-9B2B86669999}">
      <text>
        <t>[Threaded comment]
Your version of Excel allows you to read this threaded comment; however, any edits to it will get removed if the file is opened in a newer version of Excel. Learn more: https://go.microsoft.com/fwlink/?linkid=870924
Comment:
    Målet kommer fra den målte trappe på overgade 52</t>
      </text>
    </comment>
    <comment ref="AA40" authorId="33" shapeId="0" xr:uid="{621A5271-A4BC-4786-950E-062FCE211FF1}">
      <text>
        <t>[Threaded comment]
Your version of Excel allows you to read this threaded comment; however, any edits to it will get removed if the file is opened in a newer version of Excel. Learn more: https://go.microsoft.com/fwlink/?linkid=870924
Comment:
    Målet kommer fra den målte trappe på overgade 52</t>
      </text>
    </comment>
    <comment ref="I42" authorId="34" shapeId="0" xr:uid="{D27EA116-D385-46EC-8D0D-F58B1F227A87}">
      <text>
        <t xml:space="preserve">[Threaded comment]
Your version of Excel allows you to read this threaded comment; however, any edits to it will get removed if the file is opened in a newer version of Excel. Learn more: https://go.microsoft.com/fwlink/?linkid=870924
Comment:
    Det antages at bjælkerne er kvadratiske
</t>
      </text>
    </comment>
    <comment ref="I43" authorId="35" shapeId="0" xr:uid="{D0C88F3B-454F-4286-985A-CA5588E02291}">
      <text>
        <t>[Threaded comment]
Your version of Excel allows you to read this threaded comment; however, any edits to it will get removed if the file is opened in a newer version of Excel. Learn more: https://go.microsoft.com/fwlink/?linkid=870924
Comment:
    Afmålt på plantegninge</t>
      </text>
    </comment>
    <comment ref="AA43" authorId="36" shapeId="0" xr:uid="{B77DB1C7-4B0D-4922-9665-4278C4056A05}">
      <text>
        <t>[Threaded comment]
Your version of Excel allows you to read this threaded comment; however, any edits to it will get removed if the file is opened in a newer version of Excel. Learn more: https://go.microsoft.com/fwlink/?linkid=870924
Comment:
    Det antages at sidestykket mellem trappen og væggen er 0.2 m, dette fås fra trappeberegningen fra 1860</t>
      </text>
    </comment>
    <comment ref="AP48" authorId="37" shapeId="0" xr:uid="{FA1B4190-A2DE-4379-BE4B-00584472F9BC}">
      <text>
        <t>[Threaded comment]
Your version of Excel allows you to read this threaded comment; however, any edits to it will get removed if the file is opened in a newer version of Excel. Learn more: https://go.microsoft.com/fwlink/?linkid=870924
Comment:
    It is assumed that they are placed with 1 meters distance</t>
      </text>
    </comment>
    <comment ref="BC48" authorId="38" shapeId="0" xr:uid="{42485309-6D64-4FCF-B334-42452CC3F38F}">
      <text>
        <t>[Threaded comment]
Your version of Excel allows you to read this threaded comment; however, any edits to it will get removed if the file is opened in a newer version of Excel. Learn more: https://go.microsoft.com/fwlink/?linkid=870924
Comment:
    https://danskbyggeskik.dk/Publikationer/1100%20-%20Generalbeskrivelse.pdf
s.37</t>
      </text>
    </comment>
    <comment ref="AP50" authorId="39" shapeId="0" xr:uid="{E40C427A-BA57-46E7-970F-A8E4553B6092}">
      <text>
        <t>[Threaded comment]
Your version of Excel allows you to read this threaded comment; however, any edits to it will get removed if the file is opened in a newer version of Excel. Learn more: https://go.microsoft.com/fwlink/?linkid=870924
Comment:
    https://www.engineeringtoolbox.com/metal-alloys-densities-d_50.html</t>
      </text>
    </comment>
    <comment ref="V51" authorId="40" shapeId="0" xr:uid="{74F5688D-1E6F-48AE-BABE-C305A4BF718E}">
      <text>
        <t>[Threaded comment]
Your version of Excel allows you to read this threaded comment; however, any edits to it will get removed if the file is opened in a newer version of Excel. Learn more: https://go.microsoft.com/fwlink/?linkid=870924
Comment:
    The thickness is provided by information form The Old City of Aarhus</t>
      </text>
    </comment>
    <comment ref="AP55" authorId="41" shapeId="0" xr:uid="{8862111D-F661-449D-93AE-AF8A0528A21A}">
      <text>
        <t>[Threaded comment]
Your version of Excel allows you to read this threaded comment; however, any edits to it will get removed if the file is opened in a newer version of Excel. Learn more: https://go.microsoft.com/fwlink/?linkid=870924
Comment:
    Dansk byggeskik page 109</t>
      </text>
    </comment>
    <comment ref="AQ55" authorId="42" shapeId="0" xr:uid="{3F70DC29-7330-460C-BDD0-87227E989E5C}">
      <text>
        <t xml:space="preserve">[Threaded comment]
Your version of Excel allows you to read this threaded comment; however, any edits to it will get removed if the file is opened in a newer version of Excel. Learn more: https://go.microsoft.com/fwlink/?linkid=870924
Comment:
    Fra dansk byggeskik
</t>
      </text>
    </comment>
    <comment ref="I58" authorId="43" shapeId="0" xr:uid="{F099DDAB-91CE-4B5A-8C6D-34703198C314}">
      <text>
        <t>[Threaded comment]
Your version of Excel allows you to read this threaded comment; however, any edits to it will get removed if the file is opened in a newer version of Excel. Learn more: https://go.microsoft.com/fwlink/?linkid=870924
Comment:
    Da dette tal er varierende og den konkrete afstand ikke kan findes, er der blevet brugt den samme afstand som fundet i huset fra 1860</t>
      </text>
    </comment>
    <comment ref="I63" authorId="44" shapeId="0" xr:uid="{3007045B-8A0C-45DE-B5F7-0B5E940A310F}">
      <text>
        <t>[Threaded comment]
Your version of Excel allows you to read this threaded comment; however, any edits to it will get removed if the file is opened in a newer version of Excel. Learn more: https://go.microsoft.com/fwlink/?linkid=870924
Comment:
    De der ikke kunne findes konkrete mål fra bygningen, er der blevet benyttet standart mål for en taglægte http://www.traeinfo.dk/uploads/2011/08/BB01_-Laegtning_af_tage.pdf</t>
      </text>
    </comment>
    <comment ref="AP66" authorId="45" shapeId="0" xr:uid="{DAE9BE79-0528-4A1D-92D0-C56E88166961}">
      <text>
        <t>[Threaded comment]
Your version of Excel allows you to read this threaded comment; however, any edits to it will get removed if the file is opened in a newer version of Excel. Learn more: https://go.microsoft.com/fwlink/?linkid=870924
Comment:
    Dank byggeskik page 109</t>
      </text>
    </comment>
    <comment ref="AQ66" authorId="46" shapeId="0" xr:uid="{FD082B81-2F91-4D85-B6A0-13AC2C8B66CC}">
      <text>
        <t xml:space="preserve">[Threaded comment]
Your version of Excel allows you to read this threaded comment; however, any edits to it will get removed if the file is opened in a newer version of Excel. Learn more: https://go.microsoft.com/fwlink/?linkid=870924
Comment:
    Dansk byggeskik
</t>
      </text>
    </comment>
    <comment ref="AY67" authorId="47" shapeId="0" xr:uid="{085081C1-CE23-440F-B481-6E28DA6CB772}">
      <text>
        <t>[Threaded comment]
Your version of Excel allows you to read this threaded comment; however, any edits to it will get removed if the file is opened in a newer version of Excel. Learn more: https://go.microsoft.com/fwlink/?linkid=870924
Comment:
    It is assumed that new drain pipes are connected to the old once</t>
      </text>
    </comment>
    <comment ref="CC67" authorId="48" shapeId="0" xr:uid="{B44EA4A8-EA4D-4D8F-A7C6-785EDDDD4F89}">
      <text>
        <t>[Threaded comment]
Your version of Excel allows you to read this threaded comment; however, any edits to it will get removed if the file is opened in a newer version of Excel. Learn more: https://go.microsoft.com/fwlink/?linkid=870924
Comment:
    https://idenyt.dk/huset/bad1/alt-hvad-du-behoever-at-vide-om-dit-toilet/</t>
      </text>
    </comment>
    <comment ref="AP71" authorId="49" shapeId="0" xr:uid="{E219079D-AA22-407A-A9E9-82C472824633}">
      <text>
        <t>[Threaded comment]
Your version of Excel allows you to read this threaded comment; however, any edits to it will get removed if the file is opened in a newer version of Excel. Learn more: https://go.microsoft.com/fwlink/?linkid=870924
Comment:
    https://danskbyggeskik.dk/Publikationer/1100%20-%20Generalbeskrivelse.pdf
s.37</t>
      </text>
    </comment>
    <comment ref="I72" authorId="50" shapeId="0" xr:uid="{B4CE038D-EB68-40C3-A573-857D7F96D835}">
      <text>
        <t>[Threaded comment]
Your version of Excel allows you to read this threaded comment; however, any edits to it will get removed if the file is opened in a newer version of Excel. Learn more: https://go.microsoft.com/fwlink/?linkid=870924
Comment:
    https://www.bygogbolig.dk/wp-content/uploads/brochures/cembrit_TAG-ProduktdataEternitB7boelgeplade.pdf</t>
      </text>
    </comment>
    <comment ref="R85" authorId="51" shapeId="0" xr:uid="{65E73DFD-5939-4B8F-8BE9-8506CD58F8B0}">
      <text>
        <t>[Threaded comment]
Your version of Excel allows you to read this threaded comment; however, any edits to it will get removed if the file is opened in a newer version of Excel. Learn more: https://go.microsoft.com/fwlink/?linkid=870924
Comment:
    Since the hight is unknown it is assumed that the window as the same hight as on the ground floor</t>
      </text>
    </comment>
    <comment ref="R91" authorId="52" shapeId="0" xr:uid="{9F87B12F-EDE0-47FB-A790-815ED134FBDF}">
      <text>
        <t>[Threaded comment]
Your version of Excel allows you to read this threaded comment; however, any edits to it will get removed if the file is opened in a newer version of Excel. Learn more: https://go.microsoft.com/fwlink/?linkid=870924
Comment:
    It is assumed that the ratio between glass and frame is the same as for the ground floor</t>
      </text>
    </comment>
    <comment ref="M119" authorId="53" shapeId="0" xr:uid="{DF5AEEE4-D7DA-4A5B-97AA-B126415D6931}">
      <text>
        <t>[Threaded comment]
Your version of Excel allows you to read this threaded comment; however, any edits to it will get removed if the file is opened in a newer version of Excel. Learn more: https://go.microsoft.com/fwlink/?linkid=870924
Comment:
    Disse tal skal laves om til enheden m3</t>
      </text>
    </comment>
    <comment ref="A123" authorId="54" shapeId="0" xr:uid="{C883919F-2894-405C-A89C-DDC82ADA3A64}">
      <text>
        <t>[Threaded comment]
Your version of Excel allows you to read this threaded comment; however, any edits to it will get removed if the file is opened in a newer version of Excel. Learn more: https://go.microsoft.com/fwlink/?linkid=870924
Comment:
    Disse tal skal laves om til enheden m3</t>
      </text>
    </comment>
    <comment ref="M170" authorId="55" shapeId="0" xr:uid="{C8CC18FB-69E9-49A7-ACF9-A51C66356CF0}">
      <text>
        <t>[Threaded comment]
Your version of Excel allows you to read this threaded comment; however, any edits to it will get removed if the file is opened in a newer version of Excel. Learn more: https://go.microsoft.com/fwlink/?linkid=870924
Comment:
    https://otv.dk/vidensbank/plasttyper/pp-polypropylen/</t>
      </text>
    </comment>
    <comment ref="A231" authorId="56" shapeId="0" xr:uid="{835B3B4B-C737-4C66-AAC6-49CFD248F614}">
      <text>
        <t>[Threaded comment]
Your version of Excel allows you to read this threaded comment; however, any edits to it will get removed if the file is opened in a newer version of Excel. Learn more: https://go.microsoft.com/fwlink/?linkid=870924
Comment:
    https://www.dalmosebraende.dk/cms-massefylde-og-brandvaerdi-for-braende</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tc={63F053FA-9431-4943-B483-2A2E890B927C}</author>
    <author>tc={AE051769-FA33-4853-92C3-B6B9F64BF17A}</author>
    <author>tc={4E095D1C-9A9D-460A-8044-FD33026B91F6}</author>
    <author>tc={9403A14B-46DB-4F03-9686-3DFC2D1A21AA}</author>
    <author>tc={F0F42A5D-C01E-4818-B63E-BD8459C7397A}</author>
    <author>tc={9F31CA56-E986-493E-9A61-B650D6084218}</author>
    <author>tc={2C1CD64C-58C3-43AF-BF7F-1BA5B22762FE}</author>
    <author>tc={2D96FBAC-9C95-4B59-AD64-5645A5492CE5}</author>
    <author>tc={E8489571-CE57-40A6-A0F1-B344DE41F5FC}</author>
    <author>tc={3F29C15A-2B0F-4BC6-B338-F9FC599BE1CB}</author>
    <author>tc={FEB111D7-6605-45DA-9797-18DC2323785F}</author>
    <author>tc={75E0A2E6-D91B-44EB-BE9D-4364D6770B38}</author>
    <author>tc={A6C459BF-EE05-43C6-8B4A-E9DCD526ED5C}</author>
    <author>tc={83319EF9-88D6-45E5-8056-D39B61889760}</author>
    <author>tc={40CF28C5-2B73-4A0B-BD20-0DE92F71E344}</author>
    <author>tc={EA774C8D-80CE-4EFE-AD53-7CA5A59A4CA0}</author>
    <author>tc={61AF69E5-545A-4D06-9720-3B6783BF60F2}</author>
    <author>tc={2207AAC3-880B-45B3-9868-1355B1475DEB}</author>
    <author>tc={2D295AA7-CCB6-4805-9DDB-0A13BA77644B}</author>
    <author>tc={D987E988-5DA8-447A-A28F-F9D75385FC07}</author>
    <author>tc={35AF82DE-85B3-4879-AD53-6581174C1A76}</author>
    <author>tc={F688BAD3-CA23-40FE-B37B-1BE249C9E18D}</author>
    <author>tc={8962F4D0-537E-4C74-A90A-CAFE45D9DFDD}</author>
    <author>tc={8EE3B7B2-AAB0-4037-B56E-E83173AF48B3}</author>
    <author>tc={23926CDD-D92D-4D9A-8D7B-0BFA6EC468FC}</author>
    <author>tc={8393A96D-6CCD-4A68-AE17-B6C7B2A78565}</author>
    <author>tc={9DF35B15-07E2-4F22-9666-1C3CD9C51192}</author>
    <author>tc={BB93B1EF-9D6B-47AE-AB55-86A54E3FD789}</author>
    <author>tc={23CA0822-AC14-431D-A875-63067EB81228}</author>
    <author>tc={0C9D14C6-8230-4D77-9EE6-0EF6130337E8}</author>
    <author>tc={6C9B9180-7F21-470A-B8D7-A9BA90D9F6F7}</author>
    <author>tc={C75B756B-823F-486A-8F57-3E55F61C281B}</author>
    <author>tc={162EDE58-B5CD-4E5B-9BA1-A331DFE4DF03}</author>
    <author>tc={EFABFA50-09FA-4440-AF53-2FEC3F3F9FCD}</author>
    <author>tc={7CE49CC2-F09E-4702-A5AD-E9748AFFADAC}</author>
    <author>tc={165E948F-B6BC-4C50-9C77-860FC8B6DEDC}</author>
    <author>tc={1063F1F6-9CBE-44D7-9049-D4655B9BEE13}</author>
    <author>tc={73DC8065-0BD0-4125-9324-7DAF7AEFCD97}</author>
    <author>tc={E161AF7A-8D83-4274-BD88-DD6A503B05EC}</author>
    <author>tc={9C0360F4-196B-415E-BEAC-1548066A4D7E}</author>
    <author>tc={A357B791-F07F-4B9B-8959-DAC31D6C0B10}</author>
    <author>tc={A0CC3B89-CEEF-4820-A751-D8F6D6836851}</author>
    <author>tc={AD392E56-8FF9-4190-8A08-B58FC00E9997}</author>
    <author>tc={4C60FE83-8EB2-4374-9D0D-D7D4D827FA7C}</author>
    <author>tc={E7A6E776-0CE0-4691-837C-B43DF1B8D18A}</author>
    <author>tc={BDE4CBB9-98DB-4793-BC7F-04BDC7C28B72}</author>
    <author>tc={72ADE25E-4901-43F2-B5FB-421BA9CE9B23}</author>
    <author>tc={FC7A6195-D4ED-442D-B9AA-E827E6610D75}</author>
    <author>tc={6788A9A3-B5B3-404E-8AE0-6CD3731C07C9}</author>
    <author>tc={2C35BD6E-BEC5-45D0-824A-F5B1C12CD657}</author>
    <author>tc={2DB6A77F-4612-426A-9CE1-84997A60D256}</author>
    <author>tc={401887EF-E865-4B32-B576-35605FCC99C5}</author>
    <author>tc={B57FA8D9-1E56-49C5-A029-2FAEF6BC3BA7}</author>
    <author>tc={D4F91DC0-3384-461D-A8BC-EF6BCF1522C5}</author>
    <author>tc={100A2641-5F44-4618-9210-264D7B4B1D61}</author>
    <author>tc={A7C532CD-1DFB-40C6-B310-D09F04460046}</author>
  </authors>
  <commentList>
    <comment ref="J2" authorId="0" shapeId="0" xr:uid="{63F053FA-9431-4943-B483-2A2E890B927C}">
      <text>
        <t>[Threaded comment]
Your version of Excel allows you to read this threaded comment; however, any edits to it will get removed if the file is opened in a newer version of Excel. Learn more: https://go.microsoft.com/fwlink/?linkid=870924
Comment:
    https://www.byggebilligt.dk/images/pdf/Maalskema.pdf</t>
      </text>
    </comment>
    <comment ref="J3" authorId="1" shapeId="0" xr:uid="{AE051769-FA33-4853-92C3-B6B9F64BF17A}">
      <text>
        <t>[Threaded comment]
Your version of Excel allows you to read this threaded comment; however, any edits to it will get removed if the file is opened in a newer version of Excel. Learn more: https://go.microsoft.com/fwlink/?linkid=870924
Comment:
    https://www.bolius.dk/valg-af-nye-termoruder-16770</t>
      </text>
    </comment>
    <comment ref="I4" authorId="2" shapeId="0" xr:uid="{4E095D1C-9A9D-460A-8044-FD33026B91F6}">
      <text>
        <t>[Threaded comment]
Your version of Excel allows you to read this threaded comment; however, any edits to it will get removed if the file is opened in a newer version of Excel. Learn more: https://go.microsoft.com/fwlink/?linkid=870924
Comment:
    https://www.engineeringtoolbox.com/density-solids-d_1265.html</t>
      </text>
    </comment>
    <comment ref="E11" authorId="3" shapeId="0" xr:uid="{9403A14B-46DB-4F03-9686-3DFC2D1A21AA}">
      <text>
        <t>[Threaded comment]
Your version of Excel allows you to read this threaded comment; however, any edits to it will get removed if the file is opened in a newer version of Excel. Learn more: https://go.microsoft.com/fwlink/?linkid=870924
Comment:
    [33] side 7 - litteratur overblik</t>
      </text>
    </comment>
    <comment ref="E12" authorId="4" shapeId="0" xr:uid="{F0F42A5D-C01E-4818-B63E-BD8459C7397A}">
      <text>
        <t>[Threaded comment]
Your version of Excel allows you to read this threaded comment; however, any edits to it will get removed if the file is opened in a newer version of Excel. Learn more: https://go.microsoft.com/fwlink/?linkid=870924
Comment:
    https://grat.dk/info/8-vaegtfaktor-skema</t>
      </text>
    </comment>
    <comment ref="K17" authorId="5" shapeId="0" xr:uid="{9F31CA56-E986-493E-9A61-B650D6084218}">
      <text>
        <t>[Threaded comment]
Your version of Excel allows you to read this threaded comment; however, any edits to it will get removed if the file is opened in a newer version of Excel. Learn more: https://go.microsoft.com/fwlink/?linkid=870924
Comment:
    The ground floor layer is a 1,5 brick wall. Therefore an extra layer of brick must be included</t>
      </text>
    </comment>
    <comment ref="AE18" authorId="6" shapeId="0" xr:uid="{2C1CD64C-58C3-43AF-BF7F-1BA5B22762FE}">
      <text>
        <t>[Threaded comment]
Your version of Excel allows you to read this threaded comment; however, any edits to it will get removed if the file is opened in a newer version of Excel. Learn more: https://go.microsoft.com/fwlink/?linkid=870924
Comment:
    It is assumed based on the floor plan that the ground floor and first floor are symetrical in partition measurements</t>
      </text>
    </comment>
    <comment ref="O19" authorId="7" shapeId="0" xr:uid="{2D96FBAC-9C95-4B59-AD64-5645A5492CE5}">
      <text>
        <t>[Threaded comment]
Your version of Excel allows you to read this threaded comment; however, any edits to it will get removed if the file is opened in a newer version of Excel. Learn more: https://go.microsoft.com/fwlink/?linkid=870924
Comment:
    Talene kommer fra plantegningen af tagværket</t>
      </text>
    </comment>
    <comment ref="X19" authorId="8" shapeId="0" xr:uid="{E8489571-CE57-40A6-A0F1-B344DE41F5FC}">
      <text>
        <t>[Threaded comment]
Your version of Excel allows you to read this threaded comment; however, any edits to it will get removed if the file is opened in a newer version of Excel. Learn more: https://go.microsoft.com/fwlink/?linkid=870924
Comment:
    De der ikke kunne findes konkrete mål fra bygningen. Der er blevet benyttet standart mål for en taglægte http://www.traeinfo.dk/uploads/2011/08/BB01_-Laegtning_af_tage.pdf</t>
      </text>
    </comment>
    <comment ref="BQ19" authorId="9" shapeId="0" xr:uid="{3F29C15A-2B0F-4BC6-B338-F9FC599BE1CB}">
      <text>
        <t>[Threaded comment]
Your version of Excel allows you to read this threaded comment; however, any edits to it will get removed if the file is opened in a newer version of Excel. Learn more: https://go.microsoft.com/fwlink/?linkid=870924
Comment:
    The drain pipes have not been drawn on the floor plans. However they can be seen from pictures of the house therefore the measurements are estimated based on what can be seen in the pictures.</t>
      </text>
    </comment>
    <comment ref="BM20" authorId="10" shapeId="0" xr:uid="{FEB111D7-6605-45DA-9797-18DC2323785F}">
      <text>
        <t>[Threaded comment]
Your version of Excel allows you to read this threaded comment; however, any edits to it will get removed if the file is opened in a newer version of Excel. Learn more: https://go.microsoft.com/fwlink/?linkid=870924
Comment:
    Dansk byggeskik page 109</t>
      </text>
    </comment>
    <comment ref="BN20" authorId="11" shapeId="0" xr:uid="{75E0A2E6-D91B-44EB-BE9D-4364D6770B38}">
      <text>
        <t xml:space="preserve">[Threaded comment]
Your version of Excel allows you to read this threaded comment; however, any edits to it will get removed if the file is opened in a newer version of Excel. Learn more: https://go.microsoft.com/fwlink/?linkid=870924
Comment:
    Fra dansk byggeskik
</t>
      </text>
    </comment>
    <comment ref="X21" authorId="12" shapeId="0" xr:uid="{A6C459BF-EE05-43C6-8B4A-E9DCD526ED5C}">
      <text>
        <t>[Threaded comment]
Your version of Excel allows you to read this threaded comment; however, any edits to it will get removed if the file is opened in a newer version of Excel. Learn more: https://go.microsoft.com/fwlink/?linkid=870924
Comment:
    Aflæst på plantegningen - Tværsnit mod syd gennem trapper</t>
      </text>
    </comment>
    <comment ref="AE24" authorId="13" shapeId="0" xr:uid="{83319EF9-88D6-45E5-8056-D39B61889760}">
      <text>
        <t>[Threaded comment]
Your version of Excel allows you to read this threaded comment; however, any edits to it will get removed if the file is opened in a newer version of Excel. Learn more: https://go.microsoft.com/fwlink/?linkid=870924
Comment:
    The doors from the first floor is symetrical with the ones on the first floor</t>
      </text>
    </comment>
    <comment ref="AP24" authorId="14" shapeId="0" xr:uid="{40CF28C5-2B73-4A0B-BD20-0DE92F71E344}">
      <text>
        <t>[Threaded comment]
Your version of Excel allows you to read this threaded comment; however, any edits to it will get removed if the file is opened in a newer version of Excel. Learn more: https://go.microsoft.com/fwlink/?linkid=870924
Comment:
    Denne antagelse bliver lavet, da det ikke er muligt at se en skorsten på huset, hverken før eller efter påsættelsen af den ekstra etage. Derfor antages en højde på 0.4 m, 
der er angivet af miljøministeriet. 
https://braendefyringsportalen.dk/borger/problemer-med-roeg/reglerne/krav-til-nye-skorstene/</t>
      </text>
    </comment>
    <comment ref="BI24" authorId="15" shapeId="0" xr:uid="{EA774C8D-80CE-4EFE-AD53-7CA5A59A4CA0}">
      <text>
        <t>[Threaded comment]
Your version of Excel allows you to read this threaded comment; however, any edits to it will get removed if the file is opened in a newer version of Excel. Learn more: https://go.microsoft.com/fwlink/?linkid=870924
Comment:
    It is assumed that 2 pugging boards are left out in order to make the stairs</t>
      </text>
    </comment>
    <comment ref="BI26" authorId="16" shapeId="0" xr:uid="{61AF69E5-545A-4D06-9720-3B6783BF60F2}">
      <text>
        <t>[Threaded comment]
Your version of Excel allows you to read this threaded comment; however, any edits to it will get removed if the file is opened in a newer version of Excel. Learn more: https://go.microsoft.com/fwlink/?linkid=870924
Comment:
    It is assumed based on the beam plans that the same divisision of pugging boards can be made</t>
      </text>
    </comment>
    <comment ref="BM28" authorId="17" shapeId="0" xr:uid="{2207AAC3-880B-45B3-9868-1355B1475DEB}">
      <text>
        <t>[Threaded comment]
Your version of Excel allows you to read this threaded comment; however, any edits to it will get removed if the file is opened in a newer version of Excel. Learn more: https://go.microsoft.com/fwlink/?linkid=870924
Comment:
    Dank byggeskik page 109</t>
      </text>
    </comment>
    <comment ref="BN28" authorId="18" shapeId="0" xr:uid="{2D295AA7-CCB6-4805-9DDB-0A13BA77644B}">
      <text>
        <t xml:space="preserve">[Threaded comment]
Your version of Excel allows you to read this threaded comment; however, any edits to it will get removed if the file is opened in a newer version of Excel. Learn more: https://go.microsoft.com/fwlink/?linkid=870924
Comment:
    Dansk byggeskik
</t>
      </text>
    </comment>
    <comment ref="BI29" authorId="19" shapeId="0" xr:uid="{D987E988-5DA8-447A-A28F-F9D75385FC07}">
      <text>
        <t>[Threaded comment]
Your version of Excel allows you to read this threaded comment; however, any edits to it will get removed if the file is opened in a newer version of Excel. Learn more: https://go.microsoft.com/fwlink/?linkid=870924
Comment:
    Dansk byggeskik page 109</t>
      </text>
    </comment>
    <comment ref="K30" authorId="20" shapeId="0" xr:uid="{35AF82DE-85B3-4879-AD53-6581174C1A76}">
      <text>
        <t>[Threaded comment]
Your version of Excel allows you to read this threaded comment; however, any edits to it will get removed if the file is opened in a newer version of Excel. Learn more: https://go.microsoft.com/fwlink/?linkid=870924
Comment:
    The gable side is taken into account since there was a flat on the second floor</t>
      </text>
    </comment>
    <comment ref="AU30" authorId="21" shapeId="0" xr:uid="{F688BAD3-CA23-40FE-B37B-1BE249C9E18D}">
      <text>
        <t xml:space="preserve">[Threaded comment]
Your version of Excel allows you to read this threaded comment; however, any edits to it will get removed if the file is opened in a newer version of Excel. Learn more: https://go.microsoft.com/fwlink/?linkid=870924
Comment:
    17 trin er aflæst fra den gamle plantegning </t>
      </text>
    </comment>
    <comment ref="AE31" authorId="22" shapeId="0" xr:uid="{8962F4D0-537E-4C74-A90A-CAFE45D9DFDD}">
      <text>
        <t>[Threaded comment]
Your version of Excel allows you to read this threaded comment; however, any edits to it will get removed if the file is opened in a newer version of Excel. Learn more: https://go.microsoft.com/fwlink/?linkid=870924
Comment:
    The thickness is provided by information form The Old City of Aarhus</t>
      </text>
    </comment>
    <comment ref="BI31" authorId="23" shapeId="0" xr:uid="{8EE3B7B2-AAB0-4037-B56E-E83173AF48B3}">
      <text>
        <t>[Threaded comment]
Your version of Excel allows you to read this threaded comment; however, any edits to it will get removed if the file is opened in a newer version of Excel. Learn more: https://go.microsoft.com/fwlink/?linkid=870924
Comment:
    https://www.engineeringtoolbox.com/dirt-mud-densities-d_1727.html Wet clay</t>
      </text>
    </comment>
    <comment ref="AU33" authorId="24" shapeId="0" xr:uid="{23926CDD-D92D-4D9A-8D7B-0BFA6EC468FC}">
      <text>
        <t>[Threaded comment]
Your version of Excel allows you to read this threaded comment; however, any edits to it will get removed if the file is opened in a newer version of Excel. Learn more: https://go.microsoft.com/fwlink/?linkid=870924
Comment:
    Målet kommer fra den målte trappe på overgade 52</t>
      </text>
    </comment>
    <comment ref="AH34" authorId="25" shapeId="0" xr:uid="{8393A96D-6CCD-4A68-AE17-B6C7B2A78565}">
      <text>
        <t>[Threaded comment]
Your version of Excel allows you to read this threaded comment; however, any edits to it will get removed if the file is opened in a newer version of Excel. Learn more: https://go.microsoft.com/fwlink/?linkid=870924
Comment:
    The thickness is provided by information form The Old City of Aarhus</t>
      </text>
    </comment>
    <comment ref="AE36" authorId="26" shapeId="0" xr:uid="{9DF35B15-07E2-4F22-9666-1C3CD9C51192}">
      <text>
        <t>[Threaded comment]
Your version of Excel allows you to read this threaded comment; however, any edits to it will get removed if the file is opened in a newer version of Excel. Learn more: https://go.microsoft.com/fwlink/?linkid=870924
Comment:
    The floor height is kept constant. This will give an overestimation since the wall are sloping</t>
      </text>
    </comment>
    <comment ref="AU36" authorId="27" shapeId="0" xr:uid="{BB93B1EF-9D6B-47AE-AB55-86A54E3FD789}">
      <text>
        <t xml:space="preserve">[Threaded comment]
Your version of Excel allows you to read this threaded comment; however, any edits to it will get removed if the file is opened in a newer version of Excel. Learn more: https://go.microsoft.com/fwlink/?linkid=870924
Comment:
    Dette er mål i huset på overgade 52 og det antages at det er en standard </t>
      </text>
    </comment>
    <comment ref="K37" authorId="28" shapeId="0" xr:uid="{23CA0822-AC14-431D-A875-63067EB81228}">
      <text>
        <t>[Threaded comment]
Your version of Excel allows you to read this threaded comment; however, any edits to it will get removed if the file is opened in a newer version of Excel. Learn more: https://go.microsoft.com/fwlink/?linkid=870924
Comment:
    The thickness is provided by information form The Old City of Aarhus</t>
      </text>
    </comment>
    <comment ref="AH38" authorId="29" shapeId="0" xr:uid="{0C9D14C6-8230-4D77-9EE6-0EF6130337E8}">
      <text>
        <t>[Threaded comment]
Your version of Excel allows you to read this threaded comment; however, any edits to it will get removed if the file is opened in a newer version of Excel. Learn more: https://go.microsoft.com/fwlink/?linkid=870924
Comment:
    Spisekammer
It is assumed that the walls here are made of wood since they are so thin</t>
      </text>
    </comment>
    <comment ref="AU38" authorId="30" shapeId="0" xr:uid="{6C9B9180-7F21-470A-B8D7-A9BA90D9F6F7}">
      <text>
        <t>[Threaded comment]
Your version of Excel allows you to read this threaded comment; however, any edits to it will get removed if the file is opened in a newer version of Excel. Learn more: https://go.microsoft.com/fwlink/?linkid=870924
Comment:
    Målet kommer fra den målte trappe på overgade 52</t>
      </text>
    </comment>
    <comment ref="AU41" authorId="31" shapeId="0" xr:uid="{C75B756B-823F-486A-8F57-3E55F61C281B}">
      <text>
        <t>[Threaded comment]
Your version of Excel allows you to read this threaded comment; however, any edits to it will get removed if the file is opened in a newer version of Excel. Learn more: https://go.microsoft.com/fwlink/?linkid=870924
Comment:
    Det antages at sidestykket mellem trappen og væggen er 0.2 m, dette fås fra trappeberegningen fra 1860</t>
      </text>
    </comment>
    <comment ref="BI42" authorId="32" shapeId="0" xr:uid="{162EDE58-B5CD-4E5B-9BA1-A331DFE4DF03}">
      <text>
        <t>[Threaded comment]
Your version of Excel allows you to read this threaded comment; however, any edits to it will get removed if the file is opened in a newer version of Excel. Learn more: https://go.microsoft.com/fwlink/?linkid=870924
Comment:
    It is assumed that they are placed with 1 meters distance</t>
      </text>
    </comment>
    <comment ref="BM43" authorId="33" shapeId="0" xr:uid="{EFABFA50-09FA-4440-AF53-2FEC3F3F9FCD}">
      <text>
        <t>[Threaded comment]
Your version of Excel allows you to read this threaded comment; however, any edits to it will get removed if the file is opened in a newer version of Excel. Learn more: https://go.microsoft.com/fwlink/?linkid=870924
Comment:
    https://danskbyggeskik.dk/Publikationer/1100%20-%20Generalbeskrivelse.pdf
s.37</t>
      </text>
    </comment>
    <comment ref="BI44" authorId="34" shapeId="0" xr:uid="{7CE49CC2-F09E-4702-A5AD-E9748AFFADAC}">
      <text>
        <t>[Threaded comment]
Your version of Excel allows you to read this threaded comment; however, any edits to it will get removed if the file is opened in a newer version of Excel. Learn more: https://go.microsoft.com/fwlink/?linkid=870924
Comment:
    https://www.engineeringtoolbox.com/metal-alloys-densities-d_50.html</t>
      </text>
    </comment>
    <comment ref="T48" authorId="35" shapeId="0" xr:uid="{165E948F-B6BC-4C50-9C77-860FC8B6DEDC}">
      <text>
        <t>[Threaded comment]
Your version of Excel allows you to read this threaded comment; however, any edits to it will get removed if the file is opened in a newer version of Excel. Learn more: https://go.microsoft.com/fwlink/?linkid=870924
Comment:
    https://www.bolius.dk/tag-med-naturskifer-19003</t>
      </text>
    </comment>
    <comment ref="T49" authorId="36" shapeId="0" xr:uid="{1063F1F6-9CBE-44D7-9049-D4655B9BEE13}">
      <text>
        <t xml:space="preserve">[Threaded comment]
Your version of Excel allows you to read this threaded comment; however, any edits to it will get removed if the file is opened in a newer version of Excel. Learn more: https://go.microsoft.com/fwlink/?linkid=870924
Comment:
    https://www.taginfo.dk/skifer-tagplader/
</t>
      </text>
    </comment>
    <comment ref="AH53" authorId="37" shapeId="0" xr:uid="{73DC8065-0BD0-4125-9324-7DAF7AEFCD97}">
      <text>
        <t>[Threaded comment]
Your version of Excel allows you to read this threaded comment; however, any edits to it will get removed if the file is opened in a newer version of Excel. Learn more: https://go.microsoft.com/fwlink/?linkid=870924
Comment:
    It is assumed that the door is as high as the others in the floor</t>
      </text>
    </comment>
    <comment ref="AU55" authorId="38" shapeId="0" xr:uid="{E161AF7A-8D83-4274-BD88-DD6A503B05EC}">
      <text>
        <t xml:space="preserve">[Threaded comment]
Your version of Excel allows you to read this threaded comment; however, any edits to it will get removed if the file is opened in a newer version of Excel. Learn more: https://go.microsoft.com/fwlink/?linkid=870924
Comment:
    17 er aflæst fra den gamle plantegning </t>
      </text>
    </comment>
    <comment ref="AU58" authorId="39" shapeId="0" xr:uid="{9C0360F4-196B-415E-BEAC-1548066A4D7E}">
      <text>
        <t>[Threaded comment]
Your version of Excel allows you to read this threaded comment; however, any edits to it will get removed if the file is opened in a newer version of Excel. Learn more: https://go.microsoft.com/fwlink/?linkid=870924
Comment:
    Målet kommer fra den målte trappe på overgade 52</t>
      </text>
    </comment>
    <comment ref="AU61" authorId="40" shapeId="0" xr:uid="{A357B791-F07F-4B9B-8959-DAC31D6C0B10}">
      <text>
        <t xml:space="preserve">[Threaded comment]
Your version of Excel allows you to read this threaded comment; however, any edits to it will get removed if the file is opened in a newer version of Excel. Learn more: https://go.microsoft.com/fwlink/?linkid=870924
Comment:
    Dette er mål i huset på overgade 52 og det antages at det er en standard </t>
      </text>
    </comment>
    <comment ref="AU63" authorId="41" shapeId="0" xr:uid="{A0CC3B89-CEEF-4820-A751-D8F6D6836851}">
      <text>
        <t>[Threaded comment]
Your version of Excel allows you to read this threaded comment; however, any edits to it will get removed if the file is opened in a newer version of Excel. Learn more: https://go.microsoft.com/fwlink/?linkid=870924
Comment:
    Målet kommer fra den målte trappe på overgade 52</t>
      </text>
    </comment>
    <comment ref="AU66" authorId="42" shapeId="0" xr:uid="{AD392E56-8FF9-4190-8A08-B58FC00E9997}">
      <text>
        <t>[Threaded comment]
Your version of Excel allows you to read this threaded comment; however, any edits to it will get removed if the file is opened in a newer version of Excel. Learn more: https://go.microsoft.com/fwlink/?linkid=870924
Comment:
    Det antages at sidestykket mellem trappen og væggen er 0.2 m, dette fås fra trappeberegningen fra 1860</t>
      </text>
    </comment>
    <comment ref="AH70" authorId="43" shapeId="0" xr:uid="{4C60FE83-8EB2-4374-9D0D-D7D4D827FA7C}">
      <text>
        <t>[Threaded comment]
Your version of Excel allows you to read this threaded comment; however, any edits to it will get removed if the file is opened in a newer version of Excel. Learn more: https://go.microsoft.com/fwlink/?linkid=870924
Comment:
    It is assumed that the door is as high as the others in the floor</t>
      </text>
    </comment>
    <comment ref="AB73" authorId="44" shapeId="0" xr:uid="{E7A6E776-0CE0-4691-837C-B43DF1B8D18A}">
      <text>
        <t>[Threaded comment]
Your version of Excel allows you to read this threaded comment; however, any edits to it will get removed if the file is opened in a newer version of Excel. Learn more: https://go.microsoft.com/fwlink/?linkid=870924
Comment:
    The thickness is provided by information form The Old City of Aarhus</t>
      </text>
    </comment>
    <comment ref="BA73" authorId="45" shapeId="0" xr:uid="{BDE4CBB9-98DB-4793-BC7F-04BDC7C28B72}">
      <text>
        <t>[Threaded comment]
Your version of Excel allows you to read this threaded comment; however, any edits to it will get removed if the file is opened in a newer version of Excel. Learn more: https://go.microsoft.com/fwlink/?linkid=870924
Comment:
    For now the red beams are seen as half beams</t>
      </text>
    </comment>
    <comment ref="AH75" authorId="46" shapeId="0" xr:uid="{72ADE25E-4901-43F2-B5FB-421BA9CE9B23}">
      <text>
        <t>[Threaded comment]
Your version of Excel allows you to read this threaded comment; however, any edits to it will get removed if the file is opened in a newer version of Excel. Learn more: https://go.microsoft.com/fwlink/?linkid=870924
Comment:
    Kammer
Form the newer plans it is stated that the small room on the second floor has a wall of wood</t>
      </text>
    </comment>
    <comment ref="AH81" authorId="47" shapeId="0" xr:uid="{FC7A6195-D4ED-442D-B9AA-E827E6610D75}">
      <text>
        <t>[Threaded comment]
Your version of Excel allows you to read this threaded comment; however, any edits to it will get removed if the file is opened in a newer version of Excel. Learn more: https://go.microsoft.com/fwlink/?linkid=870924
Comment:
    It is assumed that the door fits the other at the floor</t>
      </text>
    </comment>
    <comment ref="AH89" authorId="48" shapeId="0" xr:uid="{6788A9A3-B5B3-404E-8AE0-6CD3731C07C9}">
      <text>
        <t>[Threaded comment]
Your version of Excel allows you to read this threaded comment; however, any edits to it will get removed if the file is opened in a newer version of Excel. Learn more: https://go.microsoft.com/fwlink/?linkid=870924
Comment:
    https://danskbyggeskik.dk/Publikationer/1100%20-%20Generalbeskrivelse.pdf
s.37</t>
      </text>
    </comment>
    <comment ref="A136" authorId="49" shapeId="0" xr:uid="{2C35BD6E-BEC5-45D0-824A-F5B1C12CD657}">
      <text>
        <t>[Threaded comment]
Your version of Excel allows you to read this threaded comment; however, any edits to it will get removed if the file is opened in a newer version of Excel. Learn more: https://go.microsoft.com/fwlink/?linkid=870924
Comment:
    When combing the exterior and interior wall a 2X half stone wall is obtained</t>
      </text>
    </comment>
    <comment ref="AC137" authorId="50" shapeId="0" xr:uid="{2DB6A77F-4612-426A-9CE1-84997A60D256}">
      <text>
        <t xml:space="preserve">[Threaded comment]
Your version of Excel allows you to read this threaded comment; however, any edits to it will get removed if the file is opened in a newer version of Excel. Learn more: https://go.microsoft.com/fwlink/?linkid=870924
Comment:
    Kilde [42] side 42 
Hvor man i 1880’erne kun havde (koldt) vand i køkken, (udvendigt) afløb fra køkkenvask og måske gas indlagt til madlavning, voksede mængden af installationer i boligbyggeriet efter 1880’erne.  
Derfor antages det at der var blevet indlagt vand i 1890 i den gennemsnitlige bolig </t>
      </text>
    </comment>
    <comment ref="AC139" authorId="51" shapeId="0" xr:uid="{401887EF-E865-4B32-B576-35605FCC99C5}">
      <text>
        <t xml:space="preserve">[Threaded comment]
Your version of Excel allows you to read this threaded comment; however, any edits to it will get removed if the file is opened in a newer version of Excel. Learn more: https://go.microsoft.com/fwlink/?linkid=870924
Comment:
    DST årbog 1928 
sde 27 tabel 28 
</t>
      </text>
    </comment>
    <comment ref="AC142" authorId="52" shapeId="0" xr:uid="{B57FA8D9-1E56-49C5-A029-2FAEF6BC3BA7}">
      <text>
        <t>[Threaded comment]
Your version of Excel allows you to read this threaded comment; however, any edits to it will get removed if the file is opened in a newer version of Excel. Learn more: https://go.microsoft.com/fwlink/?linkid=870924
Comment:
    https://www.danva.dk/media/2668/vejledning-nr-60-plast_rapport_ver171.pdf</t>
      </text>
    </comment>
    <comment ref="A145" authorId="53" shapeId="0" xr:uid="{D4F91DC0-3384-461D-A8BC-EF6BCF1522C5}">
      <text>
        <t>[Threaded comment]
Your version of Excel allows you to read this threaded comment; however, any edits to it will get removed if the file is opened in a newer version of Excel. Learn more: https://go.microsoft.com/fwlink/?linkid=870924
Comment:
    Disse tal skal laves om til enheden m3</t>
      </text>
    </comment>
    <comment ref="N193" authorId="54" shapeId="0" xr:uid="{100A2641-5F44-4618-9210-264D7B4B1D61}">
      <text>
        <t>[Threaded comment]
Your version of Excel allows you to read this threaded comment; however, any edits to it will get removed if the file is opened in a newer version of Excel. Learn more: https://go.microsoft.com/fwlink/?linkid=870924
Comment:
    https://otv.dk/vidensbank/plasttyper/pp-polypropylen/</t>
      </text>
    </comment>
    <comment ref="A264" authorId="55" shapeId="0" xr:uid="{A7C532CD-1DFB-40C6-B310-D09F04460046}">
      <text>
        <t>[Threaded comment]
Your version of Excel allows you to read this threaded comment; however, any edits to it will get removed if the file is opened in a newer version of Excel. Learn more: https://go.microsoft.com/fwlink/?linkid=870924
Comment:
    https://www.dalmosebraende.dk/cms-massefylde-og-brandvaerdi-for-braende</t>
      </text>
    </comment>
  </commentList>
</comments>
</file>

<file path=xl/sharedStrings.xml><?xml version="1.0" encoding="utf-8"?>
<sst xmlns="http://schemas.openxmlformats.org/spreadsheetml/2006/main" count="5795" uniqueCount="1506">
  <si>
    <t>confidential data</t>
  </si>
  <si>
    <t>House facts</t>
  </si>
  <si>
    <t>Brikcs calculations</t>
  </si>
  <si>
    <t>Tree beam dimensions</t>
  </si>
  <si>
    <t>Placement</t>
  </si>
  <si>
    <t>Den Gamle By</t>
  </si>
  <si>
    <t xml:space="preserve">Dimensions of a brick </t>
  </si>
  <si>
    <t>Width</t>
  </si>
  <si>
    <t>cm</t>
  </si>
  <si>
    <t>Construction year</t>
  </si>
  <si>
    <t>Address</t>
  </si>
  <si>
    <t xml:space="preserve">Viborghuset </t>
  </si>
  <si>
    <t xml:space="preserve">Lenght </t>
  </si>
  <si>
    <t>Height</t>
  </si>
  <si>
    <t xml:space="preserve">Width </t>
  </si>
  <si>
    <t xml:space="preserve">lifetime </t>
  </si>
  <si>
    <t>Years</t>
  </si>
  <si>
    <t>Renovation year</t>
  </si>
  <si>
    <t xml:space="preserve">Renovation year </t>
  </si>
  <si>
    <t>-</t>
  </si>
  <si>
    <t xml:space="preserve">Volume of a brick </t>
  </si>
  <si>
    <t>m3</t>
  </si>
  <si>
    <t>Thikness of a door</t>
  </si>
  <si>
    <t>m</t>
  </si>
  <si>
    <t xml:space="preserve">Vand </t>
  </si>
  <si>
    <t>Ground area</t>
  </si>
  <si>
    <t xml:space="preserve">mortar </t>
  </si>
  <si>
    <t xml:space="preserve">Thikness of a window glass </t>
  </si>
  <si>
    <t>Life time</t>
  </si>
  <si>
    <t>yr</t>
  </si>
  <si>
    <t>years</t>
  </si>
  <si>
    <t>Scaled Lenght</t>
  </si>
  <si>
    <t>Area of one brick</t>
  </si>
  <si>
    <t>m2</t>
  </si>
  <si>
    <t>Density of glass</t>
  </si>
  <si>
    <t>kg/m3</t>
  </si>
  <si>
    <t>Foundation</t>
  </si>
  <si>
    <t xml:space="preserve">Elektricitet </t>
  </si>
  <si>
    <t>Scaled Width</t>
  </si>
  <si>
    <t>Area of brick with motar</t>
  </si>
  <si>
    <t>Thickness of window frame</t>
  </si>
  <si>
    <t>Exterior wall, concrete</t>
  </si>
  <si>
    <t xml:space="preserve">Lifetime </t>
  </si>
  <si>
    <t>Scale</t>
  </si>
  <si>
    <t>Ratio of brick and motar</t>
  </si>
  <si>
    <t>Brick/ brick with motar</t>
  </si>
  <si>
    <t>Concrete</t>
  </si>
  <si>
    <t>Plastik rør</t>
  </si>
  <si>
    <t>Scale length</t>
  </si>
  <si>
    <t>Weight of bricks</t>
  </si>
  <si>
    <t>kg/brick</t>
  </si>
  <si>
    <t>Toilet Weight</t>
  </si>
  <si>
    <t xml:space="preserve">kg </t>
  </si>
  <si>
    <t>Mineral wool, insulation exterior wall</t>
  </si>
  <si>
    <t>Length</t>
  </si>
  <si>
    <t>Density of mortar</t>
  </si>
  <si>
    <t>Horisontal devition, concrete</t>
  </si>
  <si>
    <t xml:space="preserve">Toilet </t>
  </si>
  <si>
    <t>Horisontal devition, wood</t>
  </si>
  <si>
    <t>Hight (with roof)</t>
  </si>
  <si>
    <t>Stairs, wood</t>
  </si>
  <si>
    <t xml:space="preserve">Area </t>
  </si>
  <si>
    <t>window frame production, wood, U=1.5 W/m2K | window frame, wood, U=1.5 W/m2K | APOS, U</t>
  </si>
  <si>
    <t>Stairs, concrete</t>
  </si>
  <si>
    <t xml:space="preserve">Foundation </t>
  </si>
  <si>
    <t>Horizontal division</t>
  </si>
  <si>
    <t>Floor and ceiling</t>
  </si>
  <si>
    <t>Bærende konstruktioner, bjælker, konstruktions træ</t>
  </si>
  <si>
    <t>Floor and Ceiling calculations</t>
  </si>
  <si>
    <t>Exterior Wall</t>
  </si>
  <si>
    <t>Roof</t>
  </si>
  <si>
    <t xml:space="preserve">Staircase </t>
  </si>
  <si>
    <t>Chimney</t>
  </si>
  <si>
    <t>Partitions</t>
  </si>
  <si>
    <t xml:space="preserve">Hight of foundation below ground </t>
  </si>
  <si>
    <t>Dimensions</t>
  </si>
  <si>
    <t>Floor dimensions</t>
  </si>
  <si>
    <t xml:space="preserve">Bindingsværks bjælker </t>
  </si>
  <si>
    <t>Ground Floor</t>
  </si>
  <si>
    <t>Gable First floor</t>
  </si>
  <si>
    <t>Facade ground floor</t>
  </si>
  <si>
    <t>Brick calculations</t>
  </si>
  <si>
    <t xml:space="preserve">Tiles </t>
  </si>
  <si>
    <t xml:space="preserve">Number of staricases </t>
  </si>
  <si>
    <t xml:space="preserve">Number of chimneys </t>
  </si>
  <si>
    <t>Ground floor</t>
  </si>
  <si>
    <t>First floor</t>
  </si>
  <si>
    <t>Rows of stones</t>
  </si>
  <si>
    <t>row</t>
  </si>
  <si>
    <t>Tickness</t>
  </si>
  <si>
    <t>Bærende konstruktioner, bjælker, cement</t>
  </si>
  <si>
    <t>Entrance</t>
  </si>
  <si>
    <t>L15</t>
  </si>
  <si>
    <t>L1</t>
  </si>
  <si>
    <t>Total brick area and motar</t>
  </si>
  <si>
    <t>Tiles per m2</t>
  </si>
  <si>
    <t>tiles/m2</t>
  </si>
  <si>
    <t xml:space="preserve">Scale heigth </t>
  </si>
  <si>
    <t xml:space="preserve">cm </t>
  </si>
  <si>
    <t>Height of the house</t>
  </si>
  <si>
    <t>L1, L4</t>
  </si>
  <si>
    <t xml:space="preserve">Dimension of one stone </t>
  </si>
  <si>
    <t>Number of beams</t>
  </si>
  <si>
    <t>Tagkonstruktion, unanset materiale</t>
  </si>
  <si>
    <t xml:space="preserve">Scale length </t>
  </si>
  <si>
    <t>m/cm</t>
  </si>
  <si>
    <t>Amount of bricks with motar</t>
  </si>
  <si>
    <t>Weight per tile</t>
  </si>
  <si>
    <t xml:space="preserve">kg/tile </t>
  </si>
  <si>
    <t>Real height</t>
  </si>
  <si>
    <t xml:space="preserve">Hight of chimeny above the roof </t>
  </si>
  <si>
    <t xml:space="preserve">m </t>
  </si>
  <si>
    <t xml:space="preserve">Hight </t>
  </si>
  <si>
    <t>Mineral wool, insulation roof</t>
  </si>
  <si>
    <t xml:space="preserve">Scale width </t>
  </si>
  <si>
    <t>Gable side Ground floor</t>
  </si>
  <si>
    <t>L16</t>
  </si>
  <si>
    <t>L2</t>
  </si>
  <si>
    <t>Mass of brick</t>
  </si>
  <si>
    <t>kg</t>
  </si>
  <si>
    <t xml:space="preserve">Dimension of the roof </t>
  </si>
  <si>
    <t>Scale S1</t>
  </si>
  <si>
    <t>Total heigt of chimney</t>
  </si>
  <si>
    <t>L2, L3</t>
  </si>
  <si>
    <t xml:space="preserve">Length </t>
  </si>
  <si>
    <t>Total area</t>
  </si>
  <si>
    <t>Portdør, konstruktions træ</t>
  </si>
  <si>
    <t xml:space="preserve">scale </t>
  </si>
  <si>
    <t>Area of motar</t>
  </si>
  <si>
    <t xml:space="preserve">scale height </t>
  </si>
  <si>
    <t>Real S1</t>
  </si>
  <si>
    <t>Beam in the opning</t>
  </si>
  <si>
    <t>Beam length</t>
  </si>
  <si>
    <t>Number of floors</t>
  </si>
  <si>
    <t>Aluminium window frame</t>
  </si>
  <si>
    <t xml:space="preserve">scaled length </t>
  </si>
  <si>
    <t>Area</t>
  </si>
  <si>
    <t>Facade Area</t>
  </si>
  <si>
    <t>Volume of motar</t>
  </si>
  <si>
    <t>Scale width</t>
  </si>
  <si>
    <t>Scale S2</t>
  </si>
  <si>
    <t xml:space="preserve">length </t>
  </si>
  <si>
    <t>D1, D2</t>
  </si>
  <si>
    <t xml:space="preserve">Area of one stone </t>
  </si>
  <si>
    <t xml:space="preserve">Beam volume </t>
  </si>
  <si>
    <t>Total floor area</t>
  </si>
  <si>
    <t>Front door, wood</t>
  </si>
  <si>
    <t xml:space="preserve">Real length </t>
  </si>
  <si>
    <t>L12</t>
  </si>
  <si>
    <t>L3</t>
  </si>
  <si>
    <t>Mass of motar</t>
  </si>
  <si>
    <t>scale</t>
  </si>
  <si>
    <t>Real S2</t>
  </si>
  <si>
    <t>Ratio between stone and mortar</t>
  </si>
  <si>
    <t>Stone/mortar</t>
  </si>
  <si>
    <t>Wall anchor</t>
  </si>
  <si>
    <t>Total floor volume</t>
  </si>
  <si>
    <t>Window glass</t>
  </si>
  <si>
    <t xml:space="preserve">Real width </t>
  </si>
  <si>
    <t>Window and door</t>
  </si>
  <si>
    <t>Tree calculations</t>
  </si>
  <si>
    <t>Scaled length</t>
  </si>
  <si>
    <t>Scale S4</t>
  </si>
  <si>
    <t>D3</t>
  </si>
  <si>
    <t xml:space="preserve">Dimension of the front foundation </t>
  </si>
  <si>
    <t>Thickness</t>
  </si>
  <si>
    <t>Ceiling dimensions</t>
  </si>
  <si>
    <t xml:space="preserve">Window frame, Konstruktionstræ </t>
  </si>
  <si>
    <t>L13</t>
  </si>
  <si>
    <t>L4</t>
  </si>
  <si>
    <t>Total glass area</t>
  </si>
  <si>
    <t>Tree area</t>
  </si>
  <si>
    <t xml:space="preserve">Real height </t>
  </si>
  <si>
    <t>Real S4</t>
  </si>
  <si>
    <t xml:space="preserve">Front left side hight </t>
  </si>
  <si>
    <t>Interior door, ældet træ</t>
  </si>
  <si>
    <t xml:space="preserve">Room 1 </t>
  </si>
  <si>
    <t>Beams</t>
  </si>
  <si>
    <t>Window frame area</t>
  </si>
  <si>
    <t>Tree volume</t>
  </si>
  <si>
    <t>Scale S5</t>
  </si>
  <si>
    <t xml:space="preserve">Volume of the beam </t>
  </si>
  <si>
    <t>D4, D5</t>
  </si>
  <si>
    <t xml:space="preserve">Real hight left side </t>
  </si>
  <si>
    <t>Number of ceilings</t>
  </si>
  <si>
    <t>Interior door, konstruktions træ</t>
  </si>
  <si>
    <t>S7</t>
  </si>
  <si>
    <t>S1</t>
  </si>
  <si>
    <t>Door area</t>
  </si>
  <si>
    <t xml:space="preserve">Plaster </t>
  </si>
  <si>
    <t xml:space="preserve">Length of the roof </t>
  </si>
  <si>
    <t>Real S5</t>
  </si>
  <si>
    <t>C1</t>
  </si>
  <si>
    <t xml:space="preserve">Front right side hight </t>
  </si>
  <si>
    <t>Amonut</t>
  </si>
  <si>
    <t xml:space="preserve">Area of ground floor ceiling </t>
  </si>
  <si>
    <t>Interior door, træfiber, spånplader</t>
  </si>
  <si>
    <t>L8</t>
  </si>
  <si>
    <t>Amount</t>
  </si>
  <si>
    <t xml:space="preserve">Width of the house </t>
  </si>
  <si>
    <t>Scale S6</t>
  </si>
  <si>
    <t>Real length of C1</t>
  </si>
  <si>
    <t>Wall Height</t>
  </si>
  <si>
    <t>L5</t>
  </si>
  <si>
    <t xml:space="preserve">Real hight right side </t>
  </si>
  <si>
    <t>Volume</t>
  </si>
  <si>
    <t>Volume of ground floor ceiling</t>
  </si>
  <si>
    <t>Interior door, uklassficeret træ</t>
  </si>
  <si>
    <t>Total S7 area</t>
  </si>
  <si>
    <t>Total S1 area</t>
  </si>
  <si>
    <t>mm</t>
  </si>
  <si>
    <t xml:space="preserve">Area of one side of the roof </t>
  </si>
  <si>
    <t>Real S6</t>
  </si>
  <si>
    <t>C2</t>
  </si>
  <si>
    <t xml:space="preserve">Area of the front </t>
  </si>
  <si>
    <t>Density of iron</t>
  </si>
  <si>
    <t xml:space="preserve">Area of first floor ceiling </t>
  </si>
  <si>
    <t>Floor, ældet træ</t>
  </si>
  <si>
    <t>L17</t>
  </si>
  <si>
    <t>L6</t>
  </si>
  <si>
    <t>Volume of plaster</t>
  </si>
  <si>
    <t xml:space="preserve">Area of borh sides </t>
  </si>
  <si>
    <t>Scale S7</t>
  </si>
  <si>
    <t>Real length of C2</t>
  </si>
  <si>
    <t>Door Height</t>
  </si>
  <si>
    <t>Area of stone</t>
  </si>
  <si>
    <t>Stone</t>
  </si>
  <si>
    <t>Mass</t>
  </si>
  <si>
    <t>Length of first floor</t>
  </si>
  <si>
    <t>Floor, uklassficieret træ</t>
  </si>
  <si>
    <t>Facade Backside</t>
  </si>
  <si>
    <t>Mass of plaster</t>
  </si>
  <si>
    <t>Tiles</t>
  </si>
  <si>
    <t>Real S7</t>
  </si>
  <si>
    <t>C3</t>
  </si>
  <si>
    <t xml:space="preserve">Volume of the stone </t>
  </si>
  <si>
    <t xml:space="preserve">Width of first floor </t>
  </si>
  <si>
    <t>Floor, laminat træ og finer</t>
  </si>
  <si>
    <t>Room 2</t>
  </si>
  <si>
    <t>S6</t>
  </si>
  <si>
    <t>L7</t>
  </si>
  <si>
    <t>W1</t>
  </si>
  <si>
    <t>Total material use</t>
  </si>
  <si>
    <t>Mass of tiles</t>
  </si>
  <si>
    <t>Real length of C3</t>
  </si>
  <si>
    <t>L1, L4 area</t>
  </si>
  <si>
    <t xml:space="preserve">Density of a stone </t>
  </si>
  <si>
    <t>Floor, træfibre, spånplader</t>
  </si>
  <si>
    <t>Area of one step</t>
  </si>
  <si>
    <t>Number of bricks at C2</t>
  </si>
  <si>
    <t>bricks</t>
  </si>
  <si>
    <t xml:space="preserve">Mass of stones </t>
  </si>
  <si>
    <t xml:space="preserve">Volume of first floor ceiling </t>
  </si>
  <si>
    <t>Celling, påbygget, kalkmørtel</t>
  </si>
  <si>
    <t>Total S6 area</t>
  </si>
  <si>
    <t>S2 with window</t>
  </si>
  <si>
    <t>W2</t>
  </si>
  <si>
    <t>Trusses</t>
  </si>
  <si>
    <t xml:space="preserve">Thikness of one step </t>
  </si>
  <si>
    <t>Bricks in the C5</t>
  </si>
  <si>
    <t>Bricks</t>
  </si>
  <si>
    <t xml:space="preserve">Total L1, L4 area </t>
  </si>
  <si>
    <t>Area of mortar</t>
  </si>
  <si>
    <t>Total ceiling volume</t>
  </si>
  <si>
    <t>Celling, gips</t>
  </si>
  <si>
    <t>S2</t>
  </si>
  <si>
    <t>L10</t>
  </si>
  <si>
    <t>Window</t>
  </si>
  <si>
    <t>Volume of tree</t>
  </si>
  <si>
    <t xml:space="preserve">Number of beams </t>
  </si>
  <si>
    <t>beams</t>
  </si>
  <si>
    <t>Number of steps with that size</t>
  </si>
  <si>
    <t>Number of bricks in C1</t>
  </si>
  <si>
    <t>L2, L3 area</t>
  </si>
  <si>
    <t xml:space="preserve">Volume of mortar </t>
  </si>
  <si>
    <t>Celling, uklassificeret træ</t>
  </si>
  <si>
    <t>Glass area</t>
  </si>
  <si>
    <t xml:space="preserve">length of beams </t>
  </si>
  <si>
    <t xml:space="preserve">Volume of all 9 steps </t>
  </si>
  <si>
    <t xml:space="preserve">Lower part front </t>
  </si>
  <si>
    <t>Total partition length with doors</t>
  </si>
  <si>
    <t>Mass of mortar</t>
  </si>
  <si>
    <t>Celling, lamineret træ og finer</t>
  </si>
  <si>
    <t>Total S2 area</t>
  </si>
  <si>
    <t>L11</t>
  </si>
  <si>
    <t>W3</t>
  </si>
  <si>
    <t>Glass volume</t>
  </si>
  <si>
    <t xml:space="preserve">Dimension of beams </t>
  </si>
  <si>
    <t>The step in the middle</t>
  </si>
  <si>
    <t>Number of bricks in C6</t>
  </si>
  <si>
    <t>Total L2, L3 area</t>
  </si>
  <si>
    <t>D1</t>
  </si>
  <si>
    <t xml:space="preserve">Back side foundation </t>
  </si>
  <si>
    <t>Celling, træbeton og cementfibre</t>
  </si>
  <si>
    <t xml:space="preserve">Kitchen </t>
  </si>
  <si>
    <t>Glass mass</t>
  </si>
  <si>
    <t>Length of S9</t>
  </si>
  <si>
    <t xml:space="preserve">Number of bricks </t>
  </si>
  <si>
    <t>Total partition area with doors</t>
  </si>
  <si>
    <t xml:space="preserve">Left side hight </t>
  </si>
  <si>
    <t>Kvist, konstruktions træ</t>
  </si>
  <si>
    <t>S5</t>
  </si>
  <si>
    <t>Frame area</t>
  </si>
  <si>
    <t xml:space="preserve">Height </t>
  </si>
  <si>
    <t>Length of S10</t>
  </si>
  <si>
    <t xml:space="preserve">Bricks in the lover hight </t>
  </si>
  <si>
    <t>D1, D2 area</t>
  </si>
  <si>
    <t>D2</t>
  </si>
  <si>
    <t xml:space="preserve">Real left side hight </t>
  </si>
  <si>
    <t xml:space="preserve">Electricity </t>
  </si>
  <si>
    <t>Exterior wall, plaster, natursten</t>
  </si>
  <si>
    <t>area</t>
  </si>
  <si>
    <t>Amont</t>
  </si>
  <si>
    <t>Window area</t>
  </si>
  <si>
    <t>G1</t>
  </si>
  <si>
    <t>Frame volume</t>
  </si>
  <si>
    <t xml:space="preserve">Area of one beam </t>
  </si>
  <si>
    <t>Real lenght of S9</t>
  </si>
  <si>
    <t>Number of bricks in the back</t>
  </si>
  <si>
    <t xml:space="preserve">Right side hight </t>
  </si>
  <si>
    <t xml:space="preserve">Scale </t>
  </si>
  <si>
    <t>Exterior wall, plaster, beton og cement mørtel</t>
  </si>
  <si>
    <t>Total S5 area</t>
  </si>
  <si>
    <t xml:space="preserve">Volume of all 12 beams </t>
  </si>
  <si>
    <t>Real lenght of S10</t>
  </si>
  <si>
    <t>Bricks in the lower left (LL) part</t>
  </si>
  <si>
    <t>Total D1, D2 area</t>
  </si>
  <si>
    <t>Height of wall</t>
  </si>
  <si>
    <t xml:space="preserve">Real right side hight </t>
  </si>
  <si>
    <t>Exterior wall, plaster, tegl</t>
  </si>
  <si>
    <t>total S3 area</t>
  </si>
  <si>
    <t>L14</t>
  </si>
  <si>
    <t>G2</t>
  </si>
  <si>
    <t>Door volume</t>
  </si>
  <si>
    <t xml:space="preserve">Volume of the step in the middel </t>
  </si>
  <si>
    <t>Brick in the hight (lower part)</t>
  </si>
  <si>
    <t>D3 area</t>
  </si>
  <si>
    <t xml:space="preserve">Area of the back </t>
  </si>
  <si>
    <t>Length of leads</t>
  </si>
  <si>
    <t>Exterior wall, plaster, kalkmørtel</t>
  </si>
  <si>
    <t>S4=S1</t>
  </si>
  <si>
    <t xml:space="preserve">Tie Beam </t>
  </si>
  <si>
    <t>Back plates</t>
  </si>
  <si>
    <t>Bricks in C2</t>
  </si>
  <si>
    <t>D4, D5 area</t>
  </si>
  <si>
    <t>Height of door</t>
  </si>
  <si>
    <t>Interior wall, plaster, kalkmørtel</t>
  </si>
  <si>
    <t>Floor area</t>
  </si>
  <si>
    <t>S8</t>
  </si>
  <si>
    <t xml:space="preserve">beam </t>
  </si>
  <si>
    <t xml:space="preserve">Lower back plate </t>
  </si>
  <si>
    <t xml:space="preserve">Total number of bricks in LL </t>
  </si>
  <si>
    <t>Total partition length with doors area</t>
  </si>
  <si>
    <t>Volume of stone</t>
  </si>
  <si>
    <t>Real L1</t>
  </si>
  <si>
    <t>Interior wall, plaster, beton og cement mørtel</t>
  </si>
  <si>
    <t>Ceiling area</t>
  </si>
  <si>
    <t>Total S4 area</t>
  </si>
  <si>
    <t>Width S10</t>
  </si>
  <si>
    <t xml:space="preserve">Bricks in the LR part </t>
  </si>
  <si>
    <t>Total D4, D5 area</t>
  </si>
  <si>
    <t>Area of doors</t>
  </si>
  <si>
    <t>Interior wall, plaster, gips</t>
  </si>
  <si>
    <t>Brick calcultaion</t>
  </si>
  <si>
    <t>Total S8</t>
  </si>
  <si>
    <t>Height S1</t>
  </si>
  <si>
    <t xml:space="preserve">Total number of bricks in the lower part </t>
  </si>
  <si>
    <t>Total door area</t>
  </si>
  <si>
    <t>Area of partition without doors</t>
  </si>
  <si>
    <t>Real L2</t>
  </si>
  <si>
    <t>Interior wall, Tegl</t>
  </si>
  <si>
    <t>S9</t>
  </si>
  <si>
    <t>Interior wall</t>
  </si>
  <si>
    <t xml:space="preserve">Volume of one tie beam </t>
  </si>
  <si>
    <t xml:space="preserve">Thikness </t>
  </si>
  <si>
    <t xml:space="preserve">Mass of bricks </t>
  </si>
  <si>
    <t>Door volune</t>
  </si>
  <si>
    <t>Partition thicnkness</t>
  </si>
  <si>
    <t>Interior wall, Jern, stål og rustfri stål</t>
  </si>
  <si>
    <t>G3</t>
  </si>
  <si>
    <t>Exterior wall plaster</t>
  </si>
  <si>
    <t xml:space="preserve">Volume of 4 tie beams </t>
  </si>
  <si>
    <t>Volume of the lower back plate</t>
  </si>
  <si>
    <t xml:space="preserve">Area of bricks and mortar the lower part </t>
  </si>
  <si>
    <t>Total partition area without doors</t>
  </si>
  <si>
    <t>Real L3</t>
  </si>
  <si>
    <t>Interior wall, træ uklassificeret</t>
  </si>
  <si>
    <t>Total S9 amount</t>
  </si>
  <si>
    <t>Amount of windows</t>
  </si>
  <si>
    <t>Upper back plate</t>
  </si>
  <si>
    <t>Volume of partition</t>
  </si>
  <si>
    <t xml:space="preserve">Left side foundation </t>
  </si>
  <si>
    <t>Interior wall, ædelt træ</t>
  </si>
  <si>
    <t>Roof batten</t>
  </si>
  <si>
    <t>Width S9</t>
  </si>
  <si>
    <t>Volume of mortar</t>
  </si>
  <si>
    <t>Length of partitions</t>
  </si>
  <si>
    <t xml:space="preserve">Real L4 </t>
  </si>
  <si>
    <t>Roof, tegl glasseret</t>
  </si>
  <si>
    <t>Total frame area</t>
  </si>
  <si>
    <t xml:space="preserve">Distance between each roof batten </t>
  </si>
  <si>
    <t>Hight S2</t>
  </si>
  <si>
    <t>Total mass of mortar</t>
  </si>
  <si>
    <t>Size of beam</t>
  </si>
  <si>
    <t>Roof, tegl (ikke glasseret)</t>
  </si>
  <si>
    <t>scaled length</t>
  </si>
  <si>
    <t xml:space="preserve">Number of roof battens on one side </t>
  </si>
  <si>
    <t xml:space="preserve">battens </t>
  </si>
  <si>
    <t xml:space="preserve">Upper part </t>
  </si>
  <si>
    <t>Beam pr m</t>
  </si>
  <si>
    <t>beam/m</t>
  </si>
  <si>
    <t>Real L5</t>
  </si>
  <si>
    <t>Roof, natursten</t>
  </si>
  <si>
    <t>Real width</t>
  </si>
  <si>
    <t>Tree calculation</t>
  </si>
  <si>
    <t>Roof battens on both sides</t>
  </si>
  <si>
    <t>Volume of the upper back plate</t>
  </si>
  <si>
    <t>Length of C8</t>
  </si>
  <si>
    <t>Amount of beams</t>
  </si>
  <si>
    <t>Roof, beton og cement mørtel</t>
  </si>
  <si>
    <t>Lenght</t>
  </si>
  <si>
    <t>Total tree area</t>
  </si>
  <si>
    <t>S11</t>
  </si>
  <si>
    <t xml:space="preserve">Dimension of a roof batten </t>
  </si>
  <si>
    <t xml:space="preserve">Wood between the wall and staricase </t>
  </si>
  <si>
    <t>Number of bricks in C8</t>
  </si>
  <si>
    <t>Length of beams</t>
  </si>
  <si>
    <t xml:space="preserve">Area of the left side </t>
  </si>
  <si>
    <t>Real L6</t>
  </si>
  <si>
    <t>Roof, zinc og bly</t>
  </si>
  <si>
    <t>Area of ceilin at frist floor</t>
  </si>
  <si>
    <t xml:space="preserve">Lower part </t>
  </si>
  <si>
    <t>Length of C7</t>
  </si>
  <si>
    <t>Area of horisontal beam</t>
  </si>
  <si>
    <t>Roof, papir, bølgepap og inpregneret pap</t>
  </si>
  <si>
    <t>Total S11 area</t>
  </si>
  <si>
    <t xml:space="preserve">Height  S1 </t>
  </si>
  <si>
    <t>Real length of C7</t>
  </si>
  <si>
    <t>Volume of horisontal beam</t>
  </si>
  <si>
    <t>Afløb, faldstamme, jern</t>
  </si>
  <si>
    <t>Total Floor area</t>
  </si>
  <si>
    <t>S3</t>
  </si>
  <si>
    <t>Length S6</t>
  </si>
  <si>
    <t xml:space="preserve">Area of the upper front part </t>
  </si>
  <si>
    <t>Total length</t>
  </si>
  <si>
    <t xml:space="preserve">Height of the ground floor </t>
  </si>
  <si>
    <t>Afløb, faldstamme, plast/ skumplast</t>
  </si>
  <si>
    <t>Total ceiling area</t>
  </si>
  <si>
    <t xml:space="preserve">Volume of one roof batten </t>
  </si>
  <si>
    <t xml:space="preserve">Area of the upper back part </t>
  </si>
  <si>
    <t>Hight of socket</t>
  </si>
  <si>
    <t>Tagrender og nedløbsrør, jern</t>
  </si>
  <si>
    <t>Total S3 area</t>
  </si>
  <si>
    <t xml:space="preserve">Volume of all roof battens </t>
  </si>
  <si>
    <t xml:space="preserve">Right and left side </t>
  </si>
  <si>
    <t xml:space="preserve">Area of the upper left side </t>
  </si>
  <si>
    <t>Area of vertical beam</t>
  </si>
  <si>
    <t xml:space="preserve">From the socket to the celling </t>
  </si>
  <si>
    <t>Tagrender og nedløbsrør, zink og bly</t>
  </si>
  <si>
    <t xml:space="preserve">Volume of lower side </t>
  </si>
  <si>
    <t xml:space="preserve">Area of the upper right side </t>
  </si>
  <si>
    <t>Volume of vertical beam</t>
  </si>
  <si>
    <t>Tagrender og nedløbsrør, plast/ skumplast</t>
  </si>
  <si>
    <t>L18</t>
  </si>
  <si>
    <t xml:space="preserve">Total volume of beams </t>
  </si>
  <si>
    <t>Upper part</t>
  </si>
  <si>
    <t xml:space="preserve">Total area of the upper part </t>
  </si>
  <si>
    <t>Total beam volume</t>
  </si>
  <si>
    <t xml:space="preserve">Right side foundation </t>
  </si>
  <si>
    <t xml:space="preserve">Length of Leads </t>
  </si>
  <si>
    <t>Rør, jen, stål, rustfrit stål</t>
  </si>
  <si>
    <t>Height S2</t>
  </si>
  <si>
    <t>Amounts of bricks with mortar</t>
  </si>
  <si>
    <t>Brick  calculations</t>
  </si>
  <si>
    <t>Rør, kobber</t>
  </si>
  <si>
    <t>S10</t>
  </si>
  <si>
    <t xml:space="preserve">Length S6 </t>
  </si>
  <si>
    <t xml:space="preserve">mass of bricks </t>
  </si>
  <si>
    <t>Total Brick and motar area</t>
  </si>
  <si>
    <t>Material use in Leads</t>
  </si>
  <si>
    <t>Brick and motar calculatiion</t>
  </si>
  <si>
    <t>Brick area</t>
  </si>
  <si>
    <t>Thikness</t>
  </si>
  <si>
    <t>Amount of mortar</t>
  </si>
  <si>
    <t>Wires</t>
  </si>
  <si>
    <t>Radiator, jern</t>
  </si>
  <si>
    <t>Total brick area with motar</t>
  </si>
  <si>
    <t xml:space="preserve">Total mass of stones </t>
  </si>
  <si>
    <t xml:space="preserve">Toiletes </t>
  </si>
  <si>
    <t xml:space="preserve">Volume of upper left side </t>
  </si>
  <si>
    <t xml:space="preserve">Mass of mortar </t>
  </si>
  <si>
    <t xml:space="preserve">Total mass of mortar </t>
  </si>
  <si>
    <t>Copper</t>
  </si>
  <si>
    <t>W4</t>
  </si>
  <si>
    <t>kg/m</t>
  </si>
  <si>
    <t>Total wood volume of the staricase</t>
  </si>
  <si>
    <t>Chimney above the roof</t>
  </si>
  <si>
    <t>Insulation, plastic</t>
  </si>
  <si>
    <t xml:space="preserve">hight </t>
  </si>
  <si>
    <t>Plaster motar</t>
  </si>
  <si>
    <t>G4</t>
  </si>
  <si>
    <t>Partitions Plaster area</t>
  </si>
  <si>
    <t>Iner insulation, plastic</t>
  </si>
  <si>
    <t xml:space="preserve">Area of one side </t>
  </si>
  <si>
    <t>Plaster volume</t>
  </si>
  <si>
    <t>Total copper</t>
  </si>
  <si>
    <t xml:space="preserve">Area of 4 sides </t>
  </si>
  <si>
    <t>Total Insulation, plastic</t>
  </si>
  <si>
    <t xml:space="preserve">bricks with mortar </t>
  </si>
  <si>
    <t>Total Iner insulation, plastic</t>
  </si>
  <si>
    <t>Area of bricks</t>
  </si>
  <si>
    <t>Glass</t>
  </si>
  <si>
    <t>G5</t>
  </si>
  <si>
    <t>Mass of bricks</t>
  </si>
  <si>
    <t>mass of mortar</t>
  </si>
  <si>
    <t>Total mass of bricks in the chimney</t>
  </si>
  <si>
    <t xml:space="preserve">Total mass of mortar in the chimnes </t>
  </si>
  <si>
    <t>Raw materials</t>
  </si>
  <si>
    <t xml:space="preserve">Inventory </t>
  </si>
  <si>
    <t>Demliation year</t>
  </si>
  <si>
    <t>Total liverable floor area</t>
  </si>
  <si>
    <t>Household size</t>
  </si>
  <si>
    <t>Number of flats</t>
  </si>
  <si>
    <t>Total Life time</t>
  </si>
  <si>
    <t>Use stage</t>
  </si>
  <si>
    <t xml:space="preserve">Section </t>
  </si>
  <si>
    <t xml:space="preserve">Materials </t>
  </si>
  <si>
    <t>Unit</t>
  </si>
  <si>
    <t>[Unit/m2/yr]</t>
  </si>
  <si>
    <t>Service life [year]</t>
  </si>
  <si>
    <t>[Unit/m2/person]</t>
  </si>
  <si>
    <t xml:space="preserve">Category </t>
  </si>
  <si>
    <t>Stones</t>
  </si>
  <si>
    <t>Granite</t>
  </si>
  <si>
    <t>Exterior wall</t>
  </si>
  <si>
    <t xml:space="preserve">Mortar </t>
  </si>
  <si>
    <t xml:space="preserve">Lime </t>
  </si>
  <si>
    <t>Mortar</t>
  </si>
  <si>
    <t>Lime</t>
  </si>
  <si>
    <t>Wood</t>
  </si>
  <si>
    <t>Mortar, Plaster</t>
  </si>
  <si>
    <t>Tile</t>
  </si>
  <si>
    <t xml:space="preserve">Interior wall </t>
  </si>
  <si>
    <t xml:space="preserve">Doors/windows </t>
  </si>
  <si>
    <t xml:space="preserve">Doors, outside </t>
  </si>
  <si>
    <t xml:space="preserve">Wood </t>
  </si>
  <si>
    <t xml:space="preserve">Doors, inside </t>
  </si>
  <si>
    <t>Window frame</t>
  </si>
  <si>
    <t>horizontal division</t>
  </si>
  <si>
    <t xml:space="preserve">Beams </t>
  </si>
  <si>
    <t xml:space="preserve">Ceiling </t>
  </si>
  <si>
    <t>Floor boards</t>
  </si>
  <si>
    <t>Iron</t>
  </si>
  <si>
    <t>Stairs</t>
  </si>
  <si>
    <t>Staircase</t>
  </si>
  <si>
    <t>wood</t>
  </si>
  <si>
    <t>Brick</t>
  </si>
  <si>
    <t>Pipes</t>
  </si>
  <si>
    <t>Plastic</t>
  </si>
  <si>
    <t>Drain pipes</t>
  </si>
  <si>
    <t>Drain pipe</t>
  </si>
  <si>
    <t>Zinc</t>
  </si>
  <si>
    <t xml:space="preserve">Drain Pipes </t>
  </si>
  <si>
    <t xml:space="preserve">Drain pipes </t>
  </si>
  <si>
    <t>zink</t>
  </si>
  <si>
    <t>Gutter</t>
  </si>
  <si>
    <t>Materials</t>
  </si>
  <si>
    <t xml:space="preserve">Amounts </t>
  </si>
  <si>
    <t>Unit/liveablem2/yr</t>
  </si>
  <si>
    <t>Unit/m2/person/yr</t>
  </si>
  <si>
    <t>Wood density</t>
  </si>
  <si>
    <t>Granite [kg]</t>
  </si>
  <si>
    <t>Wood volume</t>
  </si>
  <si>
    <t>PE/PP density</t>
  </si>
  <si>
    <t>Lime [kg]</t>
  </si>
  <si>
    <t>Wood mass</t>
  </si>
  <si>
    <t>Tile [kg]</t>
  </si>
  <si>
    <t>Wood [kg]</t>
  </si>
  <si>
    <t>Glass [kg]</t>
  </si>
  <si>
    <t>Iron [kg]</t>
  </si>
  <si>
    <t>Zinc [kg]</t>
  </si>
  <si>
    <r>
      <t>Rør,</t>
    </r>
    <r>
      <rPr>
        <b/>
        <sz val="11"/>
        <color theme="9"/>
        <rFont val="Calibri"/>
        <family val="2"/>
        <scheme val="minor"/>
      </rPr>
      <t xml:space="preserve"> plast</t>
    </r>
    <r>
      <rPr>
        <sz val="11"/>
        <color theme="9"/>
        <rFont val="Calibri"/>
        <family val="2"/>
        <scheme val="minor"/>
      </rPr>
      <t>/skumplast</t>
    </r>
  </si>
  <si>
    <t xml:space="preserve">Renovation calculations </t>
  </si>
  <si>
    <t>year</t>
  </si>
  <si>
    <t>Skottenborghuset</t>
  </si>
  <si>
    <t>demolition</t>
  </si>
  <si>
    <t>Electricity</t>
  </si>
  <si>
    <t>first floor</t>
  </si>
  <si>
    <t>Second floor</t>
  </si>
  <si>
    <t>Left flat</t>
  </si>
  <si>
    <t xml:space="preserve">Cord lenght </t>
  </si>
  <si>
    <t>Cord lenght</t>
  </si>
  <si>
    <t xml:space="preserve">Eternit tag </t>
  </si>
  <si>
    <t>Scaled Wall thickness</t>
  </si>
  <si>
    <t>Gammelt tag lifetime</t>
  </si>
  <si>
    <t>Wall thickness</t>
  </si>
  <si>
    <t xml:space="preserve">Toilet Weight </t>
  </si>
  <si>
    <t>Total</t>
  </si>
  <si>
    <t>Right flat</t>
  </si>
  <si>
    <t>North side</t>
  </si>
  <si>
    <t>South side</t>
  </si>
  <si>
    <t>Kitchen scalled measurements</t>
  </si>
  <si>
    <t>Staricase</t>
  </si>
  <si>
    <t xml:space="preserve">Cheimny </t>
  </si>
  <si>
    <t>Pugging boards</t>
  </si>
  <si>
    <t>Exteriorwall</t>
  </si>
  <si>
    <t>Door</t>
  </si>
  <si>
    <t>Cord length</t>
  </si>
  <si>
    <t>Scaled height of facade</t>
  </si>
  <si>
    <t>Number of windows</t>
  </si>
  <si>
    <t>Scaled floor height</t>
  </si>
  <si>
    <t>Total brick area</t>
  </si>
  <si>
    <t>Number of staricases</t>
  </si>
  <si>
    <t xml:space="preserve">Dimension of the right cheimny </t>
  </si>
  <si>
    <t>Hight</t>
  </si>
  <si>
    <t>Dimisions</t>
  </si>
  <si>
    <t>First floor - North side</t>
  </si>
  <si>
    <t xml:space="preserve">Door 1 (dobbelt dær) </t>
  </si>
  <si>
    <t>Scaled lenght of facefade with gate</t>
  </si>
  <si>
    <t>Floor height</t>
  </si>
  <si>
    <t>Total number of bricks with motar</t>
  </si>
  <si>
    <t>Diameter</t>
  </si>
  <si>
    <t>tommer</t>
  </si>
  <si>
    <t>Area without windows</t>
  </si>
  <si>
    <t xml:space="preserve">real length </t>
  </si>
  <si>
    <t>[Unit/ liveable area]</t>
  </si>
  <si>
    <t>Window glass area</t>
  </si>
  <si>
    <t>Bed room scaled measurements</t>
  </si>
  <si>
    <t>Width S4</t>
  </si>
  <si>
    <t>Height of the base</t>
  </si>
  <si>
    <t>Number of beams B1</t>
  </si>
  <si>
    <t>P1</t>
  </si>
  <si>
    <t>Door 2</t>
  </si>
  <si>
    <t>Lenght with gate</t>
  </si>
  <si>
    <t xml:space="preserve">length of R1 </t>
  </si>
  <si>
    <t>Real width S4</t>
  </si>
  <si>
    <t>Frost free depth</t>
  </si>
  <si>
    <t>Area of windows</t>
  </si>
  <si>
    <t>Real P1</t>
  </si>
  <si>
    <t>Area of face with gate</t>
  </si>
  <si>
    <t xml:space="preserve">Real length of R1 </t>
  </si>
  <si>
    <t>Green flat</t>
  </si>
  <si>
    <t>Kitchen measurements</t>
  </si>
  <si>
    <t>Lenght S1</t>
  </si>
  <si>
    <t>Total height of foundation</t>
  </si>
  <si>
    <t>Real length</t>
  </si>
  <si>
    <t>Width (blue)</t>
  </si>
  <si>
    <t>Area of glass</t>
  </si>
  <si>
    <t>P2</t>
  </si>
  <si>
    <t>Number of doors with length 1</t>
  </si>
  <si>
    <t>Windows</t>
  </si>
  <si>
    <t>Scaled height</t>
  </si>
  <si>
    <t xml:space="preserve">Half length of R1 </t>
  </si>
  <si>
    <t>Kitchen - bed room scaled lenght</t>
  </si>
  <si>
    <t>Real length of S1</t>
  </si>
  <si>
    <t>Area of foundation front side</t>
  </si>
  <si>
    <t>Cheimny height above the roof</t>
  </si>
  <si>
    <t>Width (green)</t>
  </si>
  <si>
    <t>Number of pugging boards</t>
  </si>
  <si>
    <t>Area of frame</t>
  </si>
  <si>
    <t>Real P2</t>
  </si>
  <si>
    <t>Number of doors with length 2</t>
  </si>
  <si>
    <t>Scaled hight</t>
  </si>
  <si>
    <t xml:space="preserve">Length of R2 </t>
  </si>
  <si>
    <t>Kitchen - living room scaled lenght</t>
  </si>
  <si>
    <t>Mortar plaster</t>
  </si>
  <si>
    <t xml:space="preserve">Area of the two long sides </t>
  </si>
  <si>
    <t xml:space="preserve">Height of the house </t>
  </si>
  <si>
    <t>Width (yellow)</t>
  </si>
  <si>
    <t>Scaled pipe pieces</t>
  </si>
  <si>
    <t>Plaster</t>
  </si>
  <si>
    <t>P3</t>
  </si>
  <si>
    <t xml:space="preserve">Hight of a door </t>
  </si>
  <si>
    <t>Scaled lenght</t>
  </si>
  <si>
    <t>Real length of R2</t>
  </si>
  <si>
    <t>Kitchen - bed room lenght</t>
  </si>
  <si>
    <t>Length of S3</t>
  </si>
  <si>
    <t xml:space="preserve">Total height of the cheimny </t>
  </si>
  <si>
    <t>Width (purple)</t>
  </si>
  <si>
    <t>Total volume</t>
  </si>
  <si>
    <t xml:space="preserve">Total brick area </t>
  </si>
  <si>
    <t>Real P3</t>
  </si>
  <si>
    <t>Area of a door 1</t>
  </si>
  <si>
    <t>Length of R3</t>
  </si>
  <si>
    <t>Kitchen - living room lenght</t>
  </si>
  <si>
    <t>Wall sides</t>
  </si>
  <si>
    <t>Volume of S3</t>
  </si>
  <si>
    <t xml:space="preserve">Area of one side the cheimy </t>
  </si>
  <si>
    <t>Tickness of wall</t>
  </si>
  <si>
    <t>Pugging (Indskudsler)</t>
  </si>
  <si>
    <t>P4</t>
  </si>
  <si>
    <t>Area of 2 door 1</t>
  </si>
  <si>
    <t xml:space="preserve">Area of one side of the house </t>
  </si>
  <si>
    <t>Wall 1 area</t>
  </si>
  <si>
    <t>Bed room  measurements</t>
  </si>
  <si>
    <t>Wall area</t>
  </si>
  <si>
    <t xml:space="preserve"> m2</t>
  </si>
  <si>
    <t xml:space="preserve">Distance between two steps </t>
  </si>
  <si>
    <t>widht</t>
  </si>
  <si>
    <t>Real P4</t>
  </si>
  <si>
    <t>Area of door 2</t>
  </si>
  <si>
    <t xml:space="preserve">Area of both sides </t>
  </si>
  <si>
    <t>Wall 2 area</t>
  </si>
  <si>
    <t>Number of steps</t>
  </si>
  <si>
    <t xml:space="preserve">steps </t>
  </si>
  <si>
    <t xml:space="preserve">Total height of fondation </t>
  </si>
  <si>
    <t xml:space="preserve">number of bricks in the length </t>
  </si>
  <si>
    <t>Real beam lenght</t>
  </si>
  <si>
    <t>P5</t>
  </si>
  <si>
    <t>Area of 9 door 2</t>
  </si>
  <si>
    <t xml:space="preserve">Number of tiles </t>
  </si>
  <si>
    <t xml:space="preserve">tiles </t>
  </si>
  <si>
    <t>Bedroom living room scaled length</t>
  </si>
  <si>
    <t xml:space="preserve">Distance between the step and the wall </t>
  </si>
  <si>
    <t xml:space="preserve">number of bricks in the height </t>
  </si>
  <si>
    <t>Density</t>
  </si>
  <si>
    <t>Horisiontal Division</t>
  </si>
  <si>
    <t>Real P5</t>
  </si>
  <si>
    <t xml:space="preserve">Total door area </t>
  </si>
  <si>
    <t>Total window area</t>
  </si>
  <si>
    <t xml:space="preserve">Mass of tiles </t>
  </si>
  <si>
    <t>Living room hallway scaled lenght</t>
  </si>
  <si>
    <t>Length of one step S5</t>
  </si>
  <si>
    <t xml:space="preserve">bricks in one side of the chimney </t>
  </si>
  <si>
    <t xml:space="preserve">Total volume of 11 beams </t>
  </si>
  <si>
    <t>Mass of clay</t>
  </si>
  <si>
    <t>Volume of beams</t>
  </si>
  <si>
    <t>P6</t>
  </si>
  <si>
    <t xml:space="preserve">Thikness of a door </t>
  </si>
  <si>
    <t>Total cord lenght</t>
  </si>
  <si>
    <t>Bedroom living room length</t>
  </si>
  <si>
    <t xml:space="preserve">Total are of the foundation </t>
  </si>
  <si>
    <t xml:space="preserve">Sides in the cheimny </t>
  </si>
  <si>
    <t>Length of B2 (green)</t>
  </si>
  <si>
    <t>All floors</t>
  </si>
  <si>
    <t>First floor Southside</t>
  </si>
  <si>
    <t>Volume of pugging boards</t>
  </si>
  <si>
    <t>Real P6</t>
  </si>
  <si>
    <t xml:space="preserve">Volume of the doors </t>
  </si>
  <si>
    <t>m/m2</t>
  </si>
  <si>
    <t xml:space="preserve">Trusses </t>
  </si>
  <si>
    <t>Living room hallway lenght</t>
  </si>
  <si>
    <t>Width of one step S5</t>
  </si>
  <si>
    <t xml:space="preserve">Bricks in the cheimny </t>
  </si>
  <si>
    <t>Real length of B2</t>
  </si>
  <si>
    <t>Number of horizontal division</t>
  </si>
  <si>
    <t xml:space="preserve">Number of windows </t>
  </si>
  <si>
    <t>Total mass of clay</t>
  </si>
  <si>
    <t>P7</t>
  </si>
  <si>
    <t>Socket</t>
  </si>
  <si>
    <t xml:space="preserve">Dimensions of a beam </t>
  </si>
  <si>
    <t>Wall 3 area</t>
  </si>
  <si>
    <t>Bed room measurements</t>
  </si>
  <si>
    <t>Volume of one step</t>
  </si>
  <si>
    <t>Volume of a brick with motar</t>
  </si>
  <si>
    <t xml:space="preserve">Number of chemnys </t>
  </si>
  <si>
    <t>Width of green</t>
  </si>
  <si>
    <t>Pipe pieces</t>
  </si>
  <si>
    <t>Wall anchor mass</t>
  </si>
  <si>
    <t>Real P7</t>
  </si>
  <si>
    <t>Liverable area</t>
  </si>
  <si>
    <t>Wall 4 area</t>
  </si>
  <si>
    <t xml:space="preserve">Volume of all steps </t>
  </si>
  <si>
    <t>Amount of brick with mortar</t>
  </si>
  <si>
    <t xml:space="preserve">Bricks </t>
  </si>
  <si>
    <t xml:space="preserve">Amounts of bricks </t>
  </si>
  <si>
    <t>Real width of green</t>
  </si>
  <si>
    <t>P8</t>
  </si>
  <si>
    <t>Left side</t>
  </si>
  <si>
    <t>Hight 1</t>
  </si>
  <si>
    <t>Gable side</t>
  </si>
  <si>
    <t xml:space="preserve">Volume of the wood between wall and staricase </t>
  </si>
  <si>
    <t>Volume of B2</t>
  </si>
  <si>
    <t>Floor and celing</t>
  </si>
  <si>
    <t>Real P8</t>
  </si>
  <si>
    <t>Right side</t>
  </si>
  <si>
    <t>Hight 2</t>
  </si>
  <si>
    <t>Purple flat</t>
  </si>
  <si>
    <t xml:space="preserve">Total volume of the staricase </t>
  </si>
  <si>
    <t xml:space="preserve">Area of mortar </t>
  </si>
  <si>
    <t>Length of B3</t>
  </si>
  <si>
    <t>Floor volume</t>
  </si>
  <si>
    <t>P9</t>
  </si>
  <si>
    <t>Total liverable area</t>
  </si>
  <si>
    <t>Hight of triangle</t>
  </si>
  <si>
    <t xml:space="preserve">Total volume of two staricases </t>
  </si>
  <si>
    <t>Real length of B3 (green)</t>
  </si>
  <si>
    <t>Ceiling</t>
  </si>
  <si>
    <t>Real P9</t>
  </si>
  <si>
    <t>g</t>
  </si>
  <si>
    <t>Area 1</t>
  </si>
  <si>
    <t>Scaled Hight of building</t>
  </si>
  <si>
    <t xml:space="preserve">Length of trusses </t>
  </si>
  <si>
    <t>Kitchen - hallway scaled lenght</t>
  </si>
  <si>
    <t>Volume of B3</t>
  </si>
  <si>
    <t>P10</t>
  </si>
  <si>
    <t>Area 2</t>
  </si>
  <si>
    <t>Volume of one truss</t>
  </si>
  <si>
    <t>Kitchen -living room scaled lenght</t>
  </si>
  <si>
    <t>Living room scaled measurements</t>
  </si>
  <si>
    <t xml:space="preserve">Length of B4 </t>
  </si>
  <si>
    <t xml:space="preserve"> Reed matting (Rørvæv)</t>
  </si>
  <si>
    <t>Real P10</t>
  </si>
  <si>
    <t>Glass 1</t>
  </si>
  <si>
    <t>Area of triangle</t>
  </si>
  <si>
    <t>Volume of all trusses at both sides</t>
  </si>
  <si>
    <t>Living room living room scaled lenght</t>
  </si>
  <si>
    <t xml:space="preserve">Galble scaled side </t>
  </si>
  <si>
    <t>Real length of B4</t>
  </si>
  <si>
    <t>Weight</t>
  </si>
  <si>
    <t>kg/m2</t>
  </si>
  <si>
    <t>P11</t>
  </si>
  <si>
    <t>Glass 2</t>
  </si>
  <si>
    <t>Area of building</t>
  </si>
  <si>
    <t>Volume of B4</t>
  </si>
  <si>
    <t>Total weight</t>
  </si>
  <si>
    <t>Real P11</t>
  </si>
  <si>
    <t>Glass aeea area</t>
  </si>
  <si>
    <t>Gables</t>
  </si>
  <si>
    <t>Galble side area</t>
  </si>
  <si>
    <t>Length of B5 (blue)</t>
  </si>
  <si>
    <t>P12</t>
  </si>
  <si>
    <t>Total Gable side area</t>
  </si>
  <si>
    <t>Length R4</t>
  </si>
  <si>
    <t>Kitchen - hallway lenght</t>
  </si>
  <si>
    <t xml:space="preserve">Dimension of the left cheimny </t>
  </si>
  <si>
    <t>Real length of B5</t>
  </si>
  <si>
    <t xml:space="preserve">Gable side </t>
  </si>
  <si>
    <t>Real P12</t>
  </si>
  <si>
    <t>Real length of R4</t>
  </si>
  <si>
    <t>Kitchen -living room lenght</t>
  </si>
  <si>
    <t>Volume of B5</t>
  </si>
  <si>
    <t>Pipe piece</t>
  </si>
  <si>
    <t>P13</t>
  </si>
  <si>
    <t>Pugging</t>
  </si>
  <si>
    <t xml:space="preserve">Clay </t>
  </si>
  <si>
    <t>Total window frame</t>
  </si>
  <si>
    <t xml:space="preserve">number of Tie beams </t>
  </si>
  <si>
    <t>Living room living room lenght</t>
  </si>
  <si>
    <t>Living room measurements</t>
  </si>
  <si>
    <t>Length of B6 (blue)</t>
  </si>
  <si>
    <t>Total pipe lenght</t>
  </si>
  <si>
    <t>Sides</t>
  </si>
  <si>
    <t>Real P13</t>
  </si>
  <si>
    <t xml:space="preserve">Volume of one Tie beam </t>
  </si>
  <si>
    <t>Living room scalled measurements</t>
  </si>
  <si>
    <t>Real length of B6</t>
  </si>
  <si>
    <t>Area 1 of circle</t>
  </si>
  <si>
    <t>P14</t>
  </si>
  <si>
    <t xml:space="preserve">Volume of all tie beama </t>
  </si>
  <si>
    <t>Wall 5 area</t>
  </si>
  <si>
    <t>Volume of B6</t>
  </si>
  <si>
    <t>Area 2 of circle</t>
  </si>
  <si>
    <t>Real P14</t>
  </si>
  <si>
    <t xml:space="preserve">Roof, beton og cement mørtel (eternit) </t>
  </si>
  <si>
    <t>Wall 6 area</t>
  </si>
  <si>
    <t xml:space="preserve">Height of the cheimny </t>
  </si>
  <si>
    <t>Length of B7 (blue)</t>
  </si>
  <si>
    <t>Volume of drain pipe</t>
  </si>
  <si>
    <t>P15</t>
  </si>
  <si>
    <t>Reed matting</t>
  </si>
  <si>
    <t>Reed</t>
  </si>
  <si>
    <t>Wall 7 area</t>
  </si>
  <si>
    <t xml:space="preserve">Area of the short side of the cheimny </t>
  </si>
  <si>
    <t>Real length of B7</t>
  </si>
  <si>
    <t>Mass of drain pipe</t>
  </si>
  <si>
    <t xml:space="preserve">Chiminey </t>
  </si>
  <si>
    <t>Real P15</t>
  </si>
  <si>
    <t>Motor, plaster</t>
  </si>
  <si>
    <t>Wall 8 area</t>
  </si>
  <si>
    <t>Area of the long side</t>
  </si>
  <si>
    <t>Volume of B7</t>
  </si>
  <si>
    <t>Mass of drain pipe 1 floor</t>
  </si>
  <si>
    <t xml:space="preserve">New Height of house </t>
  </si>
  <si>
    <t>P16</t>
  </si>
  <si>
    <t>Total mass of bricks</t>
  </si>
  <si>
    <t>Wall 9 area</t>
  </si>
  <si>
    <t xml:space="preserve">Total area </t>
  </si>
  <si>
    <t>Length of B8 (green)</t>
  </si>
  <si>
    <t xml:space="preserve">New Height of chimeny </t>
  </si>
  <si>
    <t>Real P16</t>
  </si>
  <si>
    <t>Gate</t>
  </si>
  <si>
    <t>Total mass of mortor</t>
  </si>
  <si>
    <t>Door dimensions</t>
  </si>
  <si>
    <t>Volume of one brick with mortar</t>
  </si>
  <si>
    <t>Real length of B8</t>
  </si>
  <si>
    <t>Area of chimeny</t>
  </si>
  <si>
    <t>Total window glass area</t>
  </si>
  <si>
    <t>Door dimenisons</t>
  </si>
  <si>
    <t>Scaled door height</t>
  </si>
  <si>
    <t>Amount of bricks</t>
  </si>
  <si>
    <t>Volume of B8</t>
  </si>
  <si>
    <t>Added area</t>
  </si>
  <si>
    <t xml:space="preserve">Total length of partitions </t>
  </si>
  <si>
    <t>Scaled door length 1</t>
  </si>
  <si>
    <t>Length of B9 (purple)</t>
  </si>
  <si>
    <t>Depth</t>
  </si>
  <si>
    <t>Total window frame area</t>
  </si>
  <si>
    <t>Scaled door lenght 1</t>
  </si>
  <si>
    <t>Scaled door length 2</t>
  </si>
  <si>
    <t>Real length of B9</t>
  </si>
  <si>
    <t>Mass of glass</t>
  </si>
  <si>
    <t xml:space="preserve">Total Area </t>
  </si>
  <si>
    <t>Frame Volume</t>
  </si>
  <si>
    <t>Scaled door lenght 2</t>
  </si>
  <si>
    <t>Scaled door length 3</t>
  </si>
  <si>
    <t>Volume of B9</t>
  </si>
  <si>
    <t xml:space="preserve">Total area without doors </t>
  </si>
  <si>
    <t>Scaled door lenght 3</t>
  </si>
  <si>
    <t>Scaled door length 4</t>
  </si>
  <si>
    <t>Length of B10 (blue)</t>
  </si>
  <si>
    <t>Volume of frame</t>
  </si>
  <si>
    <r>
      <t>Rør,</t>
    </r>
    <r>
      <rPr>
        <b/>
        <sz val="11"/>
        <color theme="1"/>
        <rFont val="Calibri"/>
        <family val="2"/>
        <scheme val="minor"/>
      </rPr>
      <t xml:space="preserve"> plast</t>
    </r>
    <r>
      <rPr>
        <sz val="11"/>
        <color theme="1"/>
        <rFont val="Calibri"/>
        <family val="2"/>
        <scheme val="minor"/>
      </rPr>
      <t>/skumplast</t>
    </r>
  </si>
  <si>
    <t>Door height</t>
  </si>
  <si>
    <t>Real length of B10</t>
  </si>
  <si>
    <t>Area 1 Half oval</t>
  </si>
  <si>
    <t>Brick areea</t>
  </si>
  <si>
    <t>Door lenght 1</t>
  </si>
  <si>
    <t>Door length 1</t>
  </si>
  <si>
    <t xml:space="preserve">total mass of bricks in both right and left chiemny </t>
  </si>
  <si>
    <t>Volume of B10</t>
  </si>
  <si>
    <t>Area 2 half oval</t>
  </si>
  <si>
    <t>Mass of zinc for drain pipes</t>
  </si>
  <si>
    <t>Area of chimeny 2</t>
  </si>
  <si>
    <t>Door lenght 2</t>
  </si>
  <si>
    <t>Door length 2</t>
  </si>
  <si>
    <t xml:space="preserve">total mass of mortar in both right and left chiemny </t>
  </si>
  <si>
    <t>Length of B11 (green)</t>
  </si>
  <si>
    <t>Volume of gutter</t>
  </si>
  <si>
    <t xml:space="preserve">Tagdække, narurlig materiale </t>
  </si>
  <si>
    <t>Total volume of all the wood in the roof</t>
  </si>
  <si>
    <t>Door lenght 3</t>
  </si>
  <si>
    <t>Hallway scalled measurements</t>
  </si>
  <si>
    <t>Door length 3</t>
  </si>
  <si>
    <t>Real length of B11</t>
  </si>
  <si>
    <t>Number of gutter</t>
  </si>
  <si>
    <t>Door area 1</t>
  </si>
  <si>
    <t>Door length 4</t>
  </si>
  <si>
    <t>Volume of B11</t>
  </si>
  <si>
    <t>Total volume of gutter</t>
  </si>
  <si>
    <t>Eternit plates</t>
  </si>
  <si>
    <t>Door area 2</t>
  </si>
  <si>
    <t>Length of B12 (yellow)</t>
  </si>
  <si>
    <t>Volume of drain pipe holes</t>
  </si>
  <si>
    <t>Plates pr m2</t>
  </si>
  <si>
    <t>Plate/m2</t>
  </si>
  <si>
    <t>Door area 3</t>
  </si>
  <si>
    <t>Real length of B12</t>
  </si>
  <si>
    <t>Total volume of gutter without drain pipe holes</t>
  </si>
  <si>
    <t xml:space="preserve">Weight </t>
  </si>
  <si>
    <t>kg/plate</t>
  </si>
  <si>
    <t>Amount of door 1</t>
  </si>
  <si>
    <t>Hallway measurements</t>
  </si>
  <si>
    <t>Volume of B12</t>
  </si>
  <si>
    <t>Zinc density</t>
  </si>
  <si>
    <t xml:space="preserve">Total roof area </t>
  </si>
  <si>
    <t>Amount of door 2</t>
  </si>
  <si>
    <t>Door area 4</t>
  </si>
  <si>
    <t>Length of B13 (purple)</t>
  </si>
  <si>
    <t>Mass of gutter</t>
  </si>
  <si>
    <t xml:space="preserve">Number of plates </t>
  </si>
  <si>
    <t>plates</t>
  </si>
  <si>
    <t>Amount of door 3</t>
  </si>
  <si>
    <t>Real length of B13</t>
  </si>
  <si>
    <t xml:space="preserve">Mass </t>
  </si>
  <si>
    <t>Total door area in ground floor</t>
  </si>
  <si>
    <t>Volume of B13</t>
  </si>
  <si>
    <t xml:space="preserve">Volume of two B13 </t>
  </si>
  <si>
    <t>Staircase scaled measurements</t>
  </si>
  <si>
    <t>Amount of door 4</t>
  </si>
  <si>
    <t>Length of B14 (blue)</t>
  </si>
  <si>
    <t>Real length of B14</t>
  </si>
  <si>
    <t>Staircase measurements</t>
  </si>
  <si>
    <t>Volume of B14</t>
  </si>
  <si>
    <t>Scaled Lenght 1</t>
  </si>
  <si>
    <t>Length of B15 (blue)</t>
  </si>
  <si>
    <t>Scaled lenght 2</t>
  </si>
  <si>
    <t>Real length of B15</t>
  </si>
  <si>
    <t>Lenght 1</t>
  </si>
  <si>
    <t>Volume of B15</t>
  </si>
  <si>
    <t>Lenght 2</t>
  </si>
  <si>
    <t>Length of B16 (blue)</t>
  </si>
  <si>
    <t>Real length of B16</t>
  </si>
  <si>
    <t>Volume of B16</t>
  </si>
  <si>
    <t>Length of B17 (green)</t>
  </si>
  <si>
    <t>Amount of window 1</t>
  </si>
  <si>
    <t>Real length of B17</t>
  </si>
  <si>
    <t>Amount of window 2</t>
  </si>
  <si>
    <t>Volume of B17</t>
  </si>
  <si>
    <t xml:space="preserve">Total volume of all wood in the horizontal division </t>
  </si>
  <si>
    <t>Frame to glass ratio</t>
  </si>
  <si>
    <t>Horizontal division to the basement</t>
  </si>
  <si>
    <t>Frame voume</t>
  </si>
  <si>
    <t>Door voume</t>
  </si>
  <si>
    <t>Volume of one beam</t>
  </si>
  <si>
    <t xml:space="preserve">Volume of 12 beams </t>
  </si>
  <si>
    <t xml:space="preserve">Total volume of wood in both divisions </t>
  </si>
  <si>
    <t>Raw material</t>
  </si>
  <si>
    <t>Liveable area</t>
  </si>
  <si>
    <t>Amount Ground + first floor</t>
  </si>
  <si>
    <t>Amount second floor construction</t>
  </si>
  <si>
    <t>Amount second floor reonvation</t>
  </si>
  <si>
    <t>Category</t>
  </si>
  <si>
    <t>Total mass for renovation</t>
  </si>
  <si>
    <t>Service life [yr]</t>
  </si>
  <si>
    <t xml:space="preserve">Tile </t>
  </si>
  <si>
    <t>Not renovated</t>
  </si>
  <si>
    <t>Reed Matting</t>
  </si>
  <si>
    <t>Motar, plaster</t>
  </si>
  <si>
    <t>Eternit</t>
  </si>
  <si>
    <t>PP/ PE</t>
  </si>
  <si>
    <t>Other</t>
  </si>
  <si>
    <t>Wood [m3]</t>
  </si>
  <si>
    <t>total</t>
  </si>
  <si>
    <t>Unit/liveable m2/yr</t>
  </si>
  <si>
    <t>Total mass</t>
  </si>
  <si>
    <t>Etenit</t>
  </si>
  <si>
    <t>PE/PP</t>
  </si>
  <si>
    <t>MATERIAL INTENSITY PER BUILDING BLOCK</t>
  </si>
  <si>
    <t>Mid-block V</t>
  </si>
  <si>
    <t>Mid-block H</t>
  </si>
  <si>
    <t>Under_Block</t>
  </si>
  <si>
    <t>Over_block</t>
  </si>
  <si>
    <t>Aluminum</t>
  </si>
  <si>
    <t>%</t>
  </si>
  <si>
    <t>Aluminum+PE</t>
  </si>
  <si>
    <t>Carpet</t>
  </si>
  <si>
    <t>Cement rooftiles</t>
  </si>
  <si>
    <t>Ceramic</t>
  </si>
  <si>
    <t>Clay</t>
  </si>
  <si>
    <t>Clay Brick [kg]</t>
  </si>
  <si>
    <t>Clay brick rooftiles [kg]</t>
  </si>
  <si>
    <t>Concrete - screeds</t>
  </si>
  <si>
    <t>Concrete brick</t>
  </si>
  <si>
    <t>Eternit roof plates</t>
  </si>
  <si>
    <t>Fibercement</t>
  </si>
  <si>
    <t>Gas beton/Yton/aerated</t>
  </si>
  <si>
    <t>Gypsum</t>
  </si>
  <si>
    <t>Leca beton (light weight concrete)</t>
  </si>
  <si>
    <t>Leca nuts</t>
  </si>
  <si>
    <t>Linoleum</t>
  </si>
  <si>
    <t>Mineral wool</t>
  </si>
  <si>
    <t>Mortar (lime mortar) &lt;1970s [kg]</t>
  </si>
  <si>
    <t>Mortar (limestone cement) &gt;1970s</t>
  </si>
  <si>
    <t>PE, PP</t>
  </si>
  <si>
    <t>PVC</t>
  </si>
  <si>
    <t>Sand and gravel</t>
  </si>
  <si>
    <t>Slag</t>
  </si>
  <si>
    <t>Steel</t>
  </si>
  <si>
    <t>Stones [kg]</t>
  </si>
  <si>
    <t>Straw</t>
  </si>
  <si>
    <t>Sundolit (X-EPS)</t>
  </si>
  <si>
    <t>Tared paper (bitumen + PE)</t>
  </si>
  <si>
    <t>Timber [m3]</t>
  </si>
  <si>
    <t>Wood wool cement</t>
  </si>
  <si>
    <t>*loft appartment: appartment under roof - common when pitched roof</t>
  </si>
  <si>
    <t>Densitet</t>
  </si>
  <si>
    <t>Eg</t>
  </si>
  <si>
    <t>Skovfyr</t>
  </si>
  <si>
    <t>Hjørringhuset</t>
  </si>
  <si>
    <t>Extra layer for ground floor</t>
  </si>
  <si>
    <t xml:space="preserve">Roof </t>
  </si>
  <si>
    <t xml:space="preserve">Area of the roof </t>
  </si>
  <si>
    <t xml:space="preserve">Roof battens </t>
  </si>
  <si>
    <t xml:space="preserve">Horizontal division </t>
  </si>
  <si>
    <t>Vest side</t>
  </si>
  <si>
    <t>East side</t>
  </si>
  <si>
    <t>Beam dimension</t>
  </si>
  <si>
    <t>Length R17</t>
  </si>
  <si>
    <t xml:space="preserve">Dimensions of a roof batten </t>
  </si>
  <si>
    <t>First Floor</t>
  </si>
  <si>
    <t>Doors</t>
  </si>
  <si>
    <t>The long side</t>
  </si>
  <si>
    <t xml:space="preserve">Number of cheimnys </t>
  </si>
  <si>
    <t>Drain Pipes</t>
  </si>
  <si>
    <t>Number of doors</t>
  </si>
  <si>
    <t xml:space="preserve">Number of floors </t>
  </si>
  <si>
    <t>Scaled</t>
  </si>
  <si>
    <t>Ground and first floor</t>
  </si>
  <si>
    <t>2. floor</t>
  </si>
  <si>
    <t>Scaled hieght</t>
  </si>
  <si>
    <t>Number of basement windows</t>
  </si>
  <si>
    <t xml:space="preserve">height </t>
  </si>
  <si>
    <t>Area of one side of the roof</t>
  </si>
  <si>
    <t>Wall height</t>
  </si>
  <si>
    <t>Scaled width</t>
  </si>
  <si>
    <t>Height of ground floor</t>
  </si>
  <si>
    <t>B1</t>
  </si>
  <si>
    <t>B2</t>
  </si>
  <si>
    <t>12 (g)</t>
  </si>
  <si>
    <t>L21</t>
  </si>
  <si>
    <t>Length of R1</t>
  </si>
  <si>
    <t xml:space="preserve">Area of both sides of the roof </t>
  </si>
  <si>
    <t>Number of Roof battens total</t>
  </si>
  <si>
    <t>Scaled Partition measurements</t>
  </si>
  <si>
    <t>Total first floor partitions</t>
  </si>
  <si>
    <t>Height of foundation</t>
  </si>
  <si>
    <t>Height of first floor</t>
  </si>
  <si>
    <t>8b</t>
  </si>
  <si>
    <t>9b</t>
  </si>
  <si>
    <t>8a (y)</t>
  </si>
  <si>
    <t>Real</t>
  </si>
  <si>
    <t xml:space="preserve">Number of roof batterens with length of the house </t>
  </si>
  <si>
    <t>Area with doors</t>
  </si>
  <si>
    <t xml:space="preserve">Real height of foudation </t>
  </si>
  <si>
    <t>Length of SC 1</t>
  </si>
  <si>
    <t>8c</t>
  </si>
  <si>
    <t>9c</t>
  </si>
  <si>
    <t>8b (y)</t>
  </si>
  <si>
    <t>L22</t>
  </si>
  <si>
    <t>Half lengt of R1</t>
  </si>
  <si>
    <t>Area of one cornice</t>
  </si>
  <si>
    <t xml:space="preserve">Length of the house </t>
  </si>
  <si>
    <t xml:space="preserve">Volume of one long side </t>
  </si>
  <si>
    <t>8e</t>
  </si>
  <si>
    <t>6a</t>
  </si>
  <si>
    <t>8c (g)</t>
  </si>
  <si>
    <t>Windoes</t>
  </si>
  <si>
    <t>Length of R2</t>
  </si>
  <si>
    <t>Number of cornice</t>
  </si>
  <si>
    <t>Volume of one long roof battens</t>
  </si>
  <si>
    <t>Area without doors</t>
  </si>
  <si>
    <t>Volume of two long sides</t>
  </si>
  <si>
    <t>Height of cheimny above the roof</t>
  </si>
  <si>
    <t>8f</t>
  </si>
  <si>
    <t>6b</t>
  </si>
  <si>
    <t>8d (y)</t>
  </si>
  <si>
    <t>West side</t>
  </si>
  <si>
    <t>L23</t>
  </si>
  <si>
    <t>Basement windows</t>
  </si>
  <si>
    <t>total are of the 4 cornice</t>
  </si>
  <si>
    <t>Volume of the 8 long roof battens</t>
  </si>
  <si>
    <t xml:space="preserve">The short side </t>
  </si>
  <si>
    <t>Total height of the cheimny</t>
  </si>
  <si>
    <t>6c</t>
  </si>
  <si>
    <t>8e (y)</t>
  </si>
  <si>
    <t>Floors</t>
  </si>
  <si>
    <t xml:space="preserve">Real L3 </t>
  </si>
  <si>
    <t>Scaled lenght 1</t>
  </si>
  <si>
    <t xml:space="preserve">Calculation of R3 </t>
  </si>
  <si>
    <t>Roof area without the cornice</t>
  </si>
  <si>
    <t xml:space="preserve">Number of short roofbattens, at the windows </t>
  </si>
  <si>
    <t xml:space="preserve">Area of one side of the cheimny </t>
  </si>
  <si>
    <t>6e</t>
  </si>
  <si>
    <t>6d</t>
  </si>
  <si>
    <t>8f (g)</t>
  </si>
  <si>
    <t>Total area of all floors</t>
  </si>
  <si>
    <t>L24</t>
  </si>
  <si>
    <t>Volume of R3</t>
  </si>
  <si>
    <t>Length of the batten without windows</t>
  </si>
  <si>
    <t>Area of one cheimny</t>
  </si>
  <si>
    <t>Real length of S2</t>
  </si>
  <si>
    <t>6f</t>
  </si>
  <si>
    <t>6a (y)</t>
  </si>
  <si>
    <t>Scaled Glass lenght</t>
  </si>
  <si>
    <t xml:space="preserve">Number of beems </t>
  </si>
  <si>
    <t>Roof area of the cornice</t>
  </si>
  <si>
    <t>Volume of one short roof batten</t>
  </si>
  <si>
    <t xml:space="preserve">Area of two cheimnys </t>
  </si>
  <si>
    <t>Real length of S3</t>
  </si>
  <si>
    <t>6g</t>
  </si>
  <si>
    <t>6b (g)</t>
  </si>
  <si>
    <t>L25</t>
  </si>
  <si>
    <t>Scaled Glass height</t>
  </si>
  <si>
    <t>Area of C1</t>
  </si>
  <si>
    <t xml:space="preserve">Volume of all 13 short roof battens </t>
  </si>
  <si>
    <t xml:space="preserve">Volume of one short side </t>
  </si>
  <si>
    <t xml:space="preserve">Total length </t>
  </si>
  <si>
    <t>6h</t>
  </si>
  <si>
    <t>6c (g)</t>
  </si>
  <si>
    <t>7m pieces</t>
  </si>
  <si>
    <t>Scaled Glass height 1</t>
  </si>
  <si>
    <t xml:space="preserve">Volume of all 22 R3 beams </t>
  </si>
  <si>
    <t>Lenght of R15</t>
  </si>
  <si>
    <t>Volume of two short sides</t>
  </si>
  <si>
    <t xml:space="preserve">Steps </t>
  </si>
  <si>
    <t>6i</t>
  </si>
  <si>
    <t>6d (y)</t>
  </si>
  <si>
    <t xml:space="preserve">Volume of the two first floors </t>
  </si>
  <si>
    <t>0,8 m pieces</t>
  </si>
  <si>
    <t>L26</t>
  </si>
  <si>
    <t>Hieght</t>
  </si>
  <si>
    <t>Scaled Glass height 2</t>
  </si>
  <si>
    <t>Length of R4</t>
  </si>
  <si>
    <t>Lenght of R5</t>
  </si>
  <si>
    <t>Roof battens at the cornice</t>
  </si>
  <si>
    <t xml:space="preserve">Total volume of the foundation </t>
  </si>
  <si>
    <t xml:space="preserve">Distance between each step </t>
  </si>
  <si>
    <t>6k</t>
  </si>
  <si>
    <t>4b</t>
  </si>
  <si>
    <t>6e (y)</t>
  </si>
  <si>
    <t>Ceiling area at the 2. floor</t>
  </si>
  <si>
    <t>Glass lenght</t>
  </si>
  <si>
    <t xml:space="preserve">Number of cornices </t>
  </si>
  <si>
    <t>Area of the back plate</t>
  </si>
  <si>
    <t>6n</t>
  </si>
  <si>
    <t>4c</t>
  </si>
  <si>
    <t>6f (y)</t>
  </si>
  <si>
    <t>Length of R6</t>
  </si>
  <si>
    <t>L27</t>
  </si>
  <si>
    <t>Glass height</t>
  </si>
  <si>
    <t>Length of R5</t>
  </si>
  <si>
    <t>Area of C2</t>
  </si>
  <si>
    <t xml:space="preserve">Distance between the roof battens </t>
  </si>
  <si>
    <t>Volume of brick with mortar</t>
  </si>
  <si>
    <t>4a</t>
  </si>
  <si>
    <t>4d</t>
  </si>
  <si>
    <t>6g (g)</t>
  </si>
  <si>
    <t>length of house</t>
  </si>
  <si>
    <t>Real L7</t>
  </si>
  <si>
    <t>Real length of R5</t>
  </si>
  <si>
    <t>Length of R4-R5</t>
  </si>
  <si>
    <t>Roof battens at R15</t>
  </si>
  <si>
    <t>battens</t>
  </si>
  <si>
    <t xml:space="preserve">Bricks in both cheimnys </t>
  </si>
  <si>
    <t xml:space="preserve">Thikness of the back plate </t>
  </si>
  <si>
    <t>4e</t>
  </si>
  <si>
    <t>6h (y)</t>
  </si>
  <si>
    <t>Area of ceiling at 2. floor</t>
  </si>
  <si>
    <t>L28</t>
  </si>
  <si>
    <t>Volume of R5</t>
  </si>
  <si>
    <t xml:space="preserve">Number of short roof battens </t>
  </si>
  <si>
    <t>Partitions measurements</t>
  </si>
  <si>
    <t>Second Floor</t>
  </si>
  <si>
    <t xml:space="preserve">Volume of the back plate </t>
  </si>
  <si>
    <t>4f</t>
  </si>
  <si>
    <t>6i (g)</t>
  </si>
  <si>
    <t xml:space="preserve">Volume of the ceiling at 2. floor </t>
  </si>
  <si>
    <t>Real L8</t>
  </si>
  <si>
    <t>Glass height 1</t>
  </si>
  <si>
    <t xml:space="preserve">Number of R5 </t>
  </si>
  <si>
    <t>Roof area of the one cornice</t>
  </si>
  <si>
    <t>Length of short roof battens (R5)</t>
  </si>
  <si>
    <t>4i</t>
  </si>
  <si>
    <t>6j (y)</t>
  </si>
  <si>
    <t xml:space="preserve">Total ceiling volume in the house </t>
  </si>
  <si>
    <t>L9</t>
  </si>
  <si>
    <t>L29</t>
  </si>
  <si>
    <t>Floor windows</t>
  </si>
  <si>
    <t>Glass height 2</t>
  </si>
  <si>
    <t>Gable side - Roof</t>
  </si>
  <si>
    <t>Total volume of 8 B5</t>
  </si>
  <si>
    <t>Volume of one short roof battens</t>
  </si>
  <si>
    <t>Width of one step</t>
  </si>
  <si>
    <t>4j</t>
  </si>
  <si>
    <t>6k (y)</t>
  </si>
  <si>
    <t>Real L9</t>
  </si>
  <si>
    <t>Window area 1</t>
  </si>
  <si>
    <t>Roof area of 4 cornices</t>
  </si>
  <si>
    <t>Volume of 3 short roof battens</t>
  </si>
  <si>
    <t>Pantry</t>
  </si>
  <si>
    <t>Width of one step S</t>
  </si>
  <si>
    <t>5 (g)</t>
  </si>
  <si>
    <t xml:space="preserve">L10 </t>
  </si>
  <si>
    <t>L30</t>
  </si>
  <si>
    <t>Window area 2</t>
  </si>
  <si>
    <t>Real length of R6</t>
  </si>
  <si>
    <t xml:space="preserve">Small windows </t>
  </si>
  <si>
    <t>Number of long roof battens</t>
  </si>
  <si>
    <t>Scalled Thickness</t>
  </si>
  <si>
    <t xml:space="preserve">Volume of one step </t>
  </si>
  <si>
    <t>4a (y)</t>
  </si>
  <si>
    <t xml:space="preserve">Area of ceiling </t>
  </si>
  <si>
    <t xml:space="preserve">Real L10 </t>
  </si>
  <si>
    <t>Window glass area 1</t>
  </si>
  <si>
    <t>Volume of R6</t>
  </si>
  <si>
    <t>Length R16</t>
  </si>
  <si>
    <t>Length of the long roof battens (R4)</t>
  </si>
  <si>
    <t xml:space="preserve">Volume of all 17 steps </t>
  </si>
  <si>
    <t>4b (g)</t>
  </si>
  <si>
    <t>volume of mortar</t>
  </si>
  <si>
    <t>L31</t>
  </si>
  <si>
    <t>Window glass area 2</t>
  </si>
  <si>
    <t xml:space="preserve">number of R6 </t>
  </si>
  <si>
    <t>Height R16</t>
  </si>
  <si>
    <t>Volume of one long roof batten</t>
  </si>
  <si>
    <t>Ground + First Floor</t>
  </si>
  <si>
    <t>Height of the wood between wall and staricase</t>
  </si>
  <si>
    <t>4c (y)</t>
  </si>
  <si>
    <t>Real L11</t>
  </si>
  <si>
    <t>Window frame area 1</t>
  </si>
  <si>
    <t>Total volume of all 13 R6</t>
  </si>
  <si>
    <t xml:space="preserve">Area of one window </t>
  </si>
  <si>
    <t>Volume og 4 long roof battens</t>
  </si>
  <si>
    <t>Scalled lenghts</t>
  </si>
  <si>
    <t xml:space="preserve">4d (y) </t>
  </si>
  <si>
    <t>Reed matting (Rørvæv)</t>
  </si>
  <si>
    <t>L32</t>
  </si>
  <si>
    <t>Window frame area 2</t>
  </si>
  <si>
    <t>Length of R7</t>
  </si>
  <si>
    <t xml:space="preserve">Total volume of roof battens in all 4 cornices </t>
  </si>
  <si>
    <t>4e (y)</t>
  </si>
  <si>
    <t>Real L12</t>
  </si>
  <si>
    <t>Real length of R7</t>
  </si>
  <si>
    <t>Area of all 7 windows</t>
  </si>
  <si>
    <t xml:space="preserve">Total volume of wood in the SC1 </t>
  </si>
  <si>
    <t>4f (g)</t>
  </si>
  <si>
    <t>L33</t>
  </si>
  <si>
    <t>Volume of R7</t>
  </si>
  <si>
    <t xml:space="preserve">Total volume of all roof battens </t>
  </si>
  <si>
    <t>4g (g)</t>
  </si>
  <si>
    <t>Mass of reed matting</t>
  </si>
  <si>
    <t>Real L13</t>
  </si>
  <si>
    <t xml:space="preserve">Number of R7 </t>
  </si>
  <si>
    <t xml:space="preserve">Roof area with the 4 cornices </t>
  </si>
  <si>
    <t>Total volume of all wood in the roof</t>
  </si>
  <si>
    <t>Total lenght</t>
  </si>
  <si>
    <t>4h (y)</t>
  </si>
  <si>
    <t>L34</t>
  </si>
  <si>
    <t>Cornice</t>
  </si>
  <si>
    <t>Total volume of all 13 R7</t>
  </si>
  <si>
    <t>slate (skifer)</t>
  </si>
  <si>
    <t>Length of SC 2</t>
  </si>
  <si>
    <t>4i (y)</t>
  </si>
  <si>
    <t>Real L14</t>
  </si>
  <si>
    <t>Length of R8</t>
  </si>
  <si>
    <t>Slate per m2</t>
  </si>
  <si>
    <t>Number of Pantry</t>
  </si>
  <si>
    <t>S4</t>
  </si>
  <si>
    <t>4j (g)</t>
  </si>
  <si>
    <t>L35</t>
  </si>
  <si>
    <t>Real length of R8</t>
  </si>
  <si>
    <t>Weight per m2 slate</t>
  </si>
  <si>
    <t>Total ground floor partitions</t>
  </si>
  <si>
    <t>Total area With door</t>
  </si>
  <si>
    <t xml:space="preserve">Real </t>
  </si>
  <si>
    <t>Real L15</t>
  </si>
  <si>
    <t>thikness of R8</t>
  </si>
  <si>
    <t>L36</t>
  </si>
  <si>
    <t>Real thinkness of R8</t>
  </si>
  <si>
    <t>Real length of S4</t>
  </si>
  <si>
    <t>Beam with same length as:</t>
  </si>
  <si>
    <t>Real L16</t>
  </si>
  <si>
    <t>Volume of R8</t>
  </si>
  <si>
    <t>Scaled height 1</t>
  </si>
  <si>
    <t>Real length of S5</t>
  </si>
  <si>
    <t>Total volume of zinc</t>
  </si>
  <si>
    <t xml:space="preserve">L17 </t>
  </si>
  <si>
    <t>L37</t>
  </si>
  <si>
    <t>number of R8</t>
  </si>
  <si>
    <t xml:space="preserve">Trusses and beams </t>
  </si>
  <si>
    <t>Scaled height 2</t>
  </si>
  <si>
    <t>Real length of S6</t>
  </si>
  <si>
    <t>8C</t>
  </si>
  <si>
    <t xml:space="preserve">Real L17 </t>
  </si>
  <si>
    <t>Total volume of all 13 R8</t>
  </si>
  <si>
    <t>R3 Beams</t>
  </si>
  <si>
    <t>Scaled width 1</t>
  </si>
  <si>
    <t>Mass of zinc gutter</t>
  </si>
  <si>
    <t>L38</t>
  </si>
  <si>
    <t>Length of R9</t>
  </si>
  <si>
    <t xml:space="preserve">Sides </t>
  </si>
  <si>
    <t>sides</t>
  </si>
  <si>
    <t>Scaled width 2</t>
  </si>
  <si>
    <t>Mass of drain pipes</t>
  </si>
  <si>
    <t>Real L18</t>
  </si>
  <si>
    <t>Real length of R9</t>
  </si>
  <si>
    <t xml:space="preserve">Total volume of 22 R3 beams </t>
  </si>
  <si>
    <t>Height 1</t>
  </si>
  <si>
    <t>Total area without doors</t>
  </si>
  <si>
    <t>Total mass of zinc</t>
  </si>
  <si>
    <t>L19</t>
  </si>
  <si>
    <t>L39</t>
  </si>
  <si>
    <t>Volume of R9</t>
  </si>
  <si>
    <t xml:space="preserve">Tie beams </t>
  </si>
  <si>
    <t>Height 2</t>
  </si>
  <si>
    <t>Beams with the same lenght as</t>
  </si>
  <si>
    <t>Number of R9</t>
  </si>
  <si>
    <t>R6</t>
  </si>
  <si>
    <t>Width 1</t>
  </si>
  <si>
    <t>L20</t>
  </si>
  <si>
    <t>L40</t>
  </si>
  <si>
    <t>Number of windows 1</t>
  </si>
  <si>
    <t>Width 2</t>
  </si>
  <si>
    <t>Numver of window 2</t>
  </si>
  <si>
    <t>Scaled glass length</t>
  </si>
  <si>
    <t xml:space="preserve">Total volume of all R9 in both sides </t>
  </si>
  <si>
    <t>Volume of 13 beams</t>
  </si>
  <si>
    <t>Door 1</t>
  </si>
  <si>
    <t>Beam lenght</t>
  </si>
  <si>
    <t>L41</t>
  </si>
  <si>
    <t>Scaled glass height 1</t>
  </si>
  <si>
    <t>Length of R10</t>
  </si>
  <si>
    <t xml:space="preserve">R7 </t>
  </si>
  <si>
    <t>Half beam lenght</t>
  </si>
  <si>
    <t>Height of partitions</t>
  </si>
  <si>
    <t>Number of basement window 1</t>
  </si>
  <si>
    <t>Scaled glass height 2</t>
  </si>
  <si>
    <t>Real length of R10</t>
  </si>
  <si>
    <t>Area door 1</t>
  </si>
  <si>
    <t>Beam dimensions</t>
  </si>
  <si>
    <t>Number of basement window 2</t>
  </si>
  <si>
    <t>Glass length</t>
  </si>
  <si>
    <t>volume of R10</t>
  </si>
  <si>
    <t>Area door 2</t>
  </si>
  <si>
    <t>Beam width</t>
  </si>
  <si>
    <t>from socket to celling</t>
  </si>
  <si>
    <t>Number of floor windows</t>
  </si>
  <si>
    <t>number of R10</t>
  </si>
  <si>
    <t>R8</t>
  </si>
  <si>
    <t>Half beam width</t>
  </si>
  <si>
    <t>Blue beam</t>
  </si>
  <si>
    <t xml:space="preserve">Volume of all 15 steps </t>
  </si>
  <si>
    <t>Beam Hight</t>
  </si>
  <si>
    <t>Green Beam</t>
  </si>
  <si>
    <t>Length of Leads at one floor</t>
  </si>
  <si>
    <t>Total volume of all R10 in both sides</t>
  </si>
  <si>
    <t xml:space="preserve">Total beam volume </t>
  </si>
  <si>
    <t>Red beam</t>
  </si>
  <si>
    <t>at both floors</t>
  </si>
  <si>
    <t>Length of R11</t>
  </si>
  <si>
    <t>R9</t>
  </si>
  <si>
    <t>Total half beam volume</t>
  </si>
  <si>
    <t>Real length of R11</t>
  </si>
  <si>
    <t>Length of R12</t>
  </si>
  <si>
    <t xml:space="preserve">Volume of 26 Beams </t>
  </si>
  <si>
    <t>Total length of leads</t>
  </si>
  <si>
    <t>Area of window frame</t>
  </si>
  <si>
    <t>Real length of R12</t>
  </si>
  <si>
    <t>R10</t>
  </si>
  <si>
    <t>Total Cornice area</t>
  </si>
  <si>
    <t>Length of R13</t>
  </si>
  <si>
    <t>Total volume of both SC1 and SC2</t>
  </si>
  <si>
    <t>Green beam</t>
  </si>
  <si>
    <t>Real length of R13</t>
  </si>
  <si>
    <t>g/m2</t>
  </si>
  <si>
    <t>Half length of R13</t>
  </si>
  <si>
    <t>R5</t>
  </si>
  <si>
    <t>g/m2/person</t>
  </si>
  <si>
    <t>Length of R14</t>
  </si>
  <si>
    <t>Real length of R14</t>
  </si>
  <si>
    <t>Volume of 8 beams</t>
  </si>
  <si>
    <t>Small room</t>
  </si>
  <si>
    <t xml:space="preserve">Calculation of R15 </t>
  </si>
  <si>
    <t>R19</t>
  </si>
  <si>
    <t>Length of R16</t>
  </si>
  <si>
    <t>Real length of R16</t>
  </si>
  <si>
    <t>Volume of R19</t>
  </si>
  <si>
    <t>Scalled lenght</t>
  </si>
  <si>
    <t>Length of R17</t>
  </si>
  <si>
    <t>Number of R19</t>
  </si>
  <si>
    <t>Real length of R17</t>
  </si>
  <si>
    <t>Total volume of 2 R19</t>
  </si>
  <si>
    <t xml:space="preserve">Dimension of the beam </t>
  </si>
  <si>
    <t xml:space="preserve">Length of R18 </t>
  </si>
  <si>
    <t xml:space="preserve">Normal beams </t>
  </si>
  <si>
    <t>Real length of R18</t>
  </si>
  <si>
    <t xml:space="preserve">Total volume of all trusses </t>
  </si>
  <si>
    <t>Volume of R18</t>
  </si>
  <si>
    <t>Number of R18</t>
  </si>
  <si>
    <t>Total door volume</t>
  </si>
  <si>
    <t xml:space="preserve">Half beams </t>
  </si>
  <si>
    <t xml:space="preserve">Volume of two R18 </t>
  </si>
  <si>
    <t>height</t>
  </si>
  <si>
    <t>Wooden partition area</t>
  </si>
  <si>
    <t xml:space="preserve">volume </t>
  </si>
  <si>
    <t xml:space="preserve">number of beams with length 12 </t>
  </si>
  <si>
    <t>Volume of 10 beams wilth L 12</t>
  </si>
  <si>
    <t>Total area with doors</t>
  </si>
  <si>
    <t xml:space="preserve">Total volume of all beams at 2. floor </t>
  </si>
  <si>
    <t>[Unit/ liveable m2/year]</t>
  </si>
  <si>
    <t>Comparsion for Mauds model[%]</t>
  </si>
  <si>
    <t>Lifetime of zinc drain pipes and iron pipes</t>
  </si>
  <si>
    <t>Wooden Panels</t>
  </si>
  <si>
    <t>reed</t>
  </si>
  <si>
    <t>Slate</t>
  </si>
  <si>
    <t>PP/PE</t>
  </si>
  <si>
    <r>
      <t>Rør,</t>
    </r>
    <r>
      <rPr>
        <b/>
        <sz val="11"/>
        <color rgb="FF000000"/>
        <rFont val="Calibri"/>
        <family val="2"/>
        <scheme val="minor"/>
      </rPr>
      <t xml:space="preserve"> plast</t>
    </r>
    <r>
      <rPr>
        <sz val="11"/>
        <color rgb="FF000000"/>
        <rFont val="Calibri"/>
        <family val="2"/>
        <scheme val="minor"/>
      </rPr>
      <t>/skumplast</t>
    </r>
  </si>
  <si>
    <t>Unit/m2/person</t>
  </si>
  <si>
    <t>Clay [kg]</t>
  </si>
  <si>
    <t>Steel [kg]</t>
  </si>
  <si>
    <t>Area of partition</t>
  </si>
  <si>
    <t>Volume of partitions</t>
  </si>
  <si>
    <t>Life Span (LS) data</t>
  </si>
  <si>
    <t>Mean [yr]</t>
  </si>
  <si>
    <t>Multipel regression for LS</t>
  </si>
  <si>
    <t>Estimates [yr]</t>
  </si>
  <si>
    <t>Std.</t>
  </si>
  <si>
    <t>Region</t>
  </si>
  <si>
    <t>Intercept (B0)</t>
  </si>
  <si>
    <t>Region Hovedstaden</t>
  </si>
  <si>
    <t>Other Region</t>
  </si>
  <si>
    <t>Refurbishment</t>
  </si>
  <si>
    <t>Not Refurbishment</t>
  </si>
  <si>
    <t>Use Type</t>
  </si>
  <si>
    <t>Residential</t>
  </si>
  <si>
    <t>Commercial</t>
  </si>
  <si>
    <t>Agricultural</t>
  </si>
  <si>
    <t>Recreational</t>
  </si>
  <si>
    <t xml:space="preserve">Institutional </t>
  </si>
  <si>
    <t>Other use</t>
  </si>
  <si>
    <t>Wall material/ cladding</t>
  </si>
  <si>
    <t>Wooden Panelling</t>
  </si>
  <si>
    <t>Light Concrete</t>
  </si>
  <si>
    <t>Sheet metal</t>
  </si>
  <si>
    <t>Cementitious fiber board</t>
  </si>
  <si>
    <t>Timber</t>
  </si>
  <si>
    <t>Undefined/ other material</t>
  </si>
  <si>
    <t>Year</t>
  </si>
  <si>
    <t>STD</t>
  </si>
  <si>
    <t>Ankomst til den gamle by</t>
  </si>
  <si>
    <t>Rør, plast/skumplast</t>
  </si>
  <si>
    <t>Old town of aarhus</t>
  </si>
  <si>
    <t>model of pictures</t>
  </si>
  <si>
    <t>demolishing</t>
  </si>
  <si>
    <t>Life time (aagard et 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</si>
</sst>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0"/>
    <numFmt numFmtId="165" formatCode="0.000000"/>
  </numFmts>
  <fonts count="21" x14ac:knownFonts="1">
    <font>
      <sz val="11"/>
      <color theme="1"/>
      <name val="Calibri"/>
      <family val="2"/>
      <scheme val="minor"/>
    </font>
    <font>
      <sz val="11"/>
      <color theme="1"/>
      <name val="Calibri"/>
      <family val="2"/>
      <scheme val="minor"/>
    </font>
    <font>
      <sz val="11"/>
      <color rgb="FFFF0000"/>
      <name val="Calibri"/>
      <family val="2"/>
      <scheme val="minor"/>
    </font>
    <font>
      <b/>
      <sz val="11"/>
      <color theme="1"/>
      <name val="Calibri"/>
      <family val="2"/>
      <scheme val="minor"/>
    </font>
    <font>
      <b/>
      <sz val="14"/>
      <color theme="1"/>
      <name val="Calibri"/>
      <family val="2"/>
      <scheme val="minor"/>
    </font>
    <font>
      <b/>
      <i/>
      <sz val="11"/>
      <color theme="1"/>
      <name val="Calibri"/>
      <family val="2"/>
      <scheme val="minor"/>
    </font>
    <font>
      <i/>
      <sz val="11"/>
      <color theme="1"/>
      <name val="Calibri"/>
      <family val="2"/>
      <scheme val="minor"/>
    </font>
    <font>
      <sz val="11"/>
      <color theme="9"/>
      <name val="Calibri"/>
      <family val="2"/>
      <scheme val="minor"/>
    </font>
    <font>
      <sz val="11"/>
      <name val="Calibri"/>
      <family val="2"/>
      <scheme val="minor"/>
    </font>
    <font>
      <i/>
      <sz val="11"/>
      <color rgb="FFFF0000"/>
      <name val="Calibri"/>
      <family val="2"/>
      <scheme val="minor"/>
    </font>
    <font>
      <b/>
      <sz val="11"/>
      <color rgb="FFFF0000"/>
      <name val="Calibri"/>
      <family val="2"/>
      <scheme val="minor"/>
    </font>
    <font>
      <b/>
      <sz val="11"/>
      <color theme="9"/>
      <name val="Calibri"/>
      <family val="2"/>
      <scheme val="minor"/>
    </font>
    <font>
      <sz val="11"/>
      <color theme="9" tint="0.79998168889431442"/>
      <name val="Calibri"/>
      <family val="2"/>
      <scheme val="minor"/>
    </font>
    <font>
      <sz val="9"/>
      <color indexed="81"/>
      <name val="Tahoma"/>
      <charset val="1"/>
    </font>
    <font>
      <sz val="11"/>
      <color rgb="FFC00000"/>
      <name val="Calibri"/>
      <family val="2"/>
      <scheme val="minor"/>
    </font>
    <font>
      <sz val="11"/>
      <color theme="4"/>
      <name val="Calibri"/>
      <family val="2"/>
      <scheme val="minor"/>
    </font>
    <font>
      <sz val="11"/>
      <color rgb="FF000000"/>
      <name val="Calibri"/>
      <family val="2"/>
      <scheme val="minor"/>
    </font>
    <font>
      <b/>
      <sz val="11"/>
      <color rgb="FF000000"/>
      <name val="Calibri"/>
      <family val="2"/>
      <scheme val="minor"/>
    </font>
    <font>
      <b/>
      <sz val="11"/>
      <color rgb="FF000000"/>
      <name val="Calibri"/>
      <family val="2"/>
    </font>
    <font>
      <sz val="11"/>
      <color theme="1"/>
      <name val="Calibri"/>
      <family val="2"/>
    </font>
    <font>
      <i/>
      <sz val="11"/>
      <color rgb="FF000000"/>
      <name val="Calibri"/>
      <family val="2"/>
    </font>
  </fonts>
  <fills count="6">
    <fill>
      <patternFill patternType="none"/>
    </fill>
    <fill>
      <patternFill patternType="gray125"/>
    </fill>
    <fill>
      <patternFill patternType="solid">
        <fgColor theme="9"/>
        <bgColor indexed="64"/>
      </patternFill>
    </fill>
    <fill>
      <patternFill patternType="solid">
        <fgColor theme="9" tint="0.79998168889431442"/>
        <bgColor indexed="64"/>
      </patternFill>
    </fill>
    <fill>
      <patternFill patternType="solid">
        <fgColor theme="4" tint="0.79998168889431442"/>
        <bgColor indexed="64"/>
      </patternFill>
    </fill>
    <fill>
      <patternFill patternType="solid">
        <fgColor rgb="FFFFFF00"/>
        <bgColor indexed="64"/>
      </patternFill>
    </fill>
  </fills>
  <borders count="20">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style="thin">
        <color indexed="64"/>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s>
  <cellStyleXfs count="2">
    <xf numFmtId="0" fontId="0" fillId="0" borderId="0"/>
    <xf numFmtId="9" fontId="1" fillId="0" borderId="0" applyFont="0" applyFill="0" applyBorder="0" applyAlignment="0" applyProtection="0"/>
  </cellStyleXfs>
  <cellXfs count="128">
    <xf numFmtId="0" fontId="0" fillId="0" borderId="0" xfId="0"/>
    <xf numFmtId="0" fontId="4" fillId="0" borderId="1" xfId="0" applyFont="1" applyBorder="1"/>
    <xf numFmtId="0" fontId="0" fillId="0" borderId="2" xfId="0" applyBorder="1"/>
    <xf numFmtId="0" fontId="5" fillId="0" borderId="1" xfId="0" applyFont="1" applyBorder="1"/>
    <xf numFmtId="0" fontId="0" fillId="0" borderId="3" xfId="0" applyBorder="1"/>
    <xf numFmtId="0" fontId="0" fillId="0" borderId="4" xfId="0" applyBorder="1"/>
    <xf numFmtId="0" fontId="6" fillId="0" borderId="1" xfId="0" applyFont="1" applyBorder="1"/>
    <xf numFmtId="0" fontId="0" fillId="0" borderId="5" xfId="0" applyBorder="1"/>
    <xf numFmtId="0" fontId="0" fillId="0" borderId="4" xfId="1" applyNumberFormat="1" applyFont="1" applyBorder="1"/>
    <xf numFmtId="0" fontId="0" fillId="0" borderId="6" xfId="0" applyBorder="1"/>
    <xf numFmtId="0" fontId="0" fillId="0" borderId="0" xfId="0" applyAlignment="1">
      <alignment horizontal="center"/>
    </xf>
    <xf numFmtId="0" fontId="0" fillId="0" borderId="1" xfId="0" applyBorder="1"/>
    <xf numFmtId="0" fontId="2" fillId="0" borderId="4" xfId="0" applyFont="1" applyBorder="1" applyAlignment="1">
      <alignment horizontal="left"/>
    </xf>
    <xf numFmtId="0" fontId="0" fillId="0" borderId="4" xfId="0" applyBorder="1" applyAlignment="1">
      <alignment horizontal="right"/>
    </xf>
    <xf numFmtId="0" fontId="3" fillId="0" borderId="4" xfId="0" applyFont="1" applyBorder="1"/>
    <xf numFmtId="0" fontId="7" fillId="0" borderId="4" xfId="0" applyFont="1" applyBorder="1" applyAlignment="1">
      <alignment horizontal="left"/>
    </xf>
    <xf numFmtId="0" fontId="7" fillId="0" borderId="4" xfId="0" applyFont="1" applyBorder="1"/>
    <xf numFmtId="0" fontId="3" fillId="0" borderId="0" xfId="0" applyFont="1"/>
    <xf numFmtId="0" fontId="2" fillId="0" borderId="4" xfId="0" applyFont="1" applyBorder="1"/>
    <xf numFmtId="0" fontId="0" fillId="0" borderId="7" xfId="0" applyBorder="1"/>
    <xf numFmtId="0" fontId="3" fillId="0" borderId="6" xfId="0" applyFont="1" applyBorder="1"/>
    <xf numFmtId="0" fontId="3" fillId="0" borderId="1" xfId="0" applyFont="1" applyBorder="1"/>
    <xf numFmtId="0" fontId="8" fillId="0" borderId="4" xfId="0" applyFont="1" applyBorder="1" applyAlignment="1">
      <alignment horizontal="left"/>
    </xf>
    <xf numFmtId="0" fontId="8" fillId="0" borderId="4" xfId="0" applyFont="1" applyBorder="1"/>
    <xf numFmtId="0" fontId="8" fillId="0" borderId="0" xfId="0" applyFont="1"/>
    <xf numFmtId="0" fontId="3" fillId="0" borderId="8" xfId="0" applyFont="1" applyBorder="1"/>
    <xf numFmtId="0" fontId="0" fillId="0" borderId="9" xfId="0" applyBorder="1"/>
    <xf numFmtId="0" fontId="6" fillId="0" borderId="4" xfId="0" applyFont="1" applyBorder="1"/>
    <xf numFmtId="0" fontId="6" fillId="0" borderId="8" xfId="0" applyFont="1" applyBorder="1"/>
    <xf numFmtId="0" fontId="6" fillId="0" borderId="10" xfId="0" applyFont="1" applyBorder="1"/>
    <xf numFmtId="0" fontId="0" fillId="0" borderId="11" xfId="0" applyBorder="1"/>
    <xf numFmtId="0" fontId="0" fillId="0" borderId="12" xfId="0" applyBorder="1"/>
    <xf numFmtId="0" fontId="9" fillId="0" borderId="10" xfId="0" applyFont="1" applyBorder="1"/>
    <xf numFmtId="0" fontId="2" fillId="0" borderId="11" xfId="0" applyFont="1" applyBorder="1"/>
    <xf numFmtId="0" fontId="2" fillId="0" borderId="12" xfId="0" applyFont="1" applyBorder="1"/>
    <xf numFmtId="0" fontId="0" fillId="0" borderId="10" xfId="0" applyBorder="1"/>
    <xf numFmtId="0" fontId="0" fillId="0" borderId="13" xfId="0" applyBorder="1"/>
    <xf numFmtId="0" fontId="0" fillId="0" borderId="8" xfId="0" applyBorder="1"/>
    <xf numFmtId="0" fontId="2" fillId="0" borderId="8" xfId="0" applyFont="1" applyBorder="1"/>
    <xf numFmtId="0" fontId="2" fillId="0" borderId="14" xfId="0" applyFont="1" applyBorder="1"/>
    <xf numFmtId="0" fontId="6" fillId="0" borderId="14" xfId="0" applyFont="1" applyBorder="1"/>
    <xf numFmtId="0" fontId="2" fillId="0" borderId="10" xfId="0" applyFont="1" applyBorder="1"/>
    <xf numFmtId="0" fontId="2" fillId="0" borderId="0" xfId="0" applyFont="1"/>
    <xf numFmtId="0" fontId="0" fillId="0" borderId="14" xfId="0" applyBorder="1"/>
    <xf numFmtId="0" fontId="0" fillId="0" borderId="15" xfId="0" applyBorder="1"/>
    <xf numFmtId="0" fontId="7" fillId="0" borderId="6" xfId="0" applyFont="1" applyBorder="1"/>
    <xf numFmtId="0" fontId="6" fillId="0" borderId="13" xfId="0" applyFont="1" applyBorder="1"/>
    <xf numFmtId="0" fontId="7" fillId="0" borderId="5" xfId="0" applyFont="1" applyBorder="1"/>
    <xf numFmtId="0" fontId="6" fillId="0" borderId="0" xfId="0" applyFont="1"/>
    <xf numFmtId="0" fontId="7" fillId="0" borderId="0" xfId="0" applyFont="1"/>
    <xf numFmtId="0" fontId="3" fillId="0" borderId="14" xfId="0" applyFont="1" applyBorder="1"/>
    <xf numFmtId="0" fontId="5" fillId="0" borderId="4" xfId="0" applyFont="1" applyBorder="1"/>
    <xf numFmtId="0" fontId="5" fillId="0" borderId="6" xfId="0" applyFont="1" applyBorder="1"/>
    <xf numFmtId="0" fontId="2" fillId="0" borderId="1" xfId="0" applyFont="1" applyBorder="1"/>
    <xf numFmtId="0" fontId="3" fillId="0" borderId="13" xfId="0" applyFont="1" applyBorder="1"/>
    <xf numFmtId="0" fontId="10" fillId="0" borderId="1" xfId="0" applyFont="1" applyBorder="1"/>
    <xf numFmtId="0" fontId="7" fillId="0" borderId="13" xfId="0" applyFont="1" applyBorder="1"/>
    <xf numFmtId="0" fontId="6" fillId="0" borderId="6" xfId="0" applyFont="1" applyBorder="1"/>
    <xf numFmtId="0" fontId="0" fillId="2" borderId="0" xfId="0" applyFill="1"/>
    <xf numFmtId="0" fontId="0" fillId="3" borderId="0" xfId="0" applyFill="1"/>
    <xf numFmtId="164" fontId="3" fillId="0" borderId="0" xfId="0" applyNumberFormat="1" applyFont="1"/>
    <xf numFmtId="2" fontId="0" fillId="0" borderId="0" xfId="0" applyNumberFormat="1"/>
    <xf numFmtId="165" fontId="0" fillId="0" borderId="0" xfId="0" applyNumberFormat="1"/>
    <xf numFmtId="0" fontId="0" fillId="3" borderId="1" xfId="0" applyFill="1" applyBorder="1"/>
    <xf numFmtId="0" fontId="0" fillId="3" borderId="3" xfId="0" applyFill="1" applyBorder="1"/>
    <xf numFmtId="1" fontId="0" fillId="3" borderId="3" xfId="0" applyNumberFormat="1" applyFill="1" applyBorder="1"/>
    <xf numFmtId="0" fontId="0" fillId="3" borderId="2" xfId="0" applyFill="1" applyBorder="1"/>
    <xf numFmtId="0" fontId="0" fillId="0" borderId="0" xfId="0" applyAlignment="1">
      <alignment wrapText="1"/>
    </xf>
    <xf numFmtId="164" fontId="0" fillId="0" borderId="0" xfId="0" applyNumberFormat="1"/>
    <xf numFmtId="1" fontId="0" fillId="0" borderId="0" xfId="0" applyNumberFormat="1"/>
    <xf numFmtId="2" fontId="0" fillId="3" borderId="0" xfId="0" applyNumberFormat="1" applyFill="1"/>
    <xf numFmtId="164" fontId="0" fillId="3" borderId="0" xfId="0" applyNumberFormat="1" applyFill="1"/>
    <xf numFmtId="165" fontId="0" fillId="3" borderId="0" xfId="0" applyNumberFormat="1" applyFill="1"/>
    <xf numFmtId="1" fontId="0" fillId="3" borderId="0" xfId="0" applyNumberFormat="1" applyFill="1"/>
    <xf numFmtId="164" fontId="12" fillId="3" borderId="0" xfId="0" applyNumberFormat="1" applyFont="1" applyFill="1"/>
    <xf numFmtId="0" fontId="8" fillId="2" borderId="0" xfId="0" applyFont="1" applyFill="1"/>
    <xf numFmtId="0" fontId="0" fillId="0" borderId="0" xfId="0" applyAlignment="1">
      <alignment horizontal="left"/>
    </xf>
    <xf numFmtId="0" fontId="0" fillId="0" borderId="0" xfId="0" applyAlignment="1">
      <alignment horizontal="right"/>
    </xf>
    <xf numFmtId="0" fontId="0" fillId="0" borderId="4" xfId="0" applyBorder="1" applyAlignment="1">
      <alignment horizontal="left"/>
    </xf>
    <xf numFmtId="0" fontId="6" fillId="0" borderId="3" xfId="0" applyFont="1" applyBorder="1"/>
    <xf numFmtId="0" fontId="3" fillId="0" borderId="2" xfId="0" applyFont="1" applyBorder="1"/>
    <xf numFmtId="1" fontId="0" fillId="0" borderId="6" xfId="0" applyNumberFormat="1" applyBorder="1"/>
    <xf numFmtId="164" fontId="0" fillId="3" borderId="3" xfId="0" applyNumberFormat="1" applyFill="1" applyBorder="1"/>
    <xf numFmtId="0" fontId="0" fillId="0" borderId="16" xfId="0" applyBorder="1"/>
    <xf numFmtId="0" fontId="0" fillId="4" borderId="17" xfId="0" applyFill="1" applyBorder="1"/>
    <xf numFmtId="0" fontId="0" fillId="4" borderId="18" xfId="0" applyFill="1" applyBorder="1"/>
    <xf numFmtId="0" fontId="0" fillId="4" borderId="19" xfId="0" applyFill="1" applyBorder="1"/>
    <xf numFmtId="1" fontId="0" fillId="0" borderId="4" xfId="0" applyNumberFormat="1" applyBorder="1"/>
    <xf numFmtId="0" fontId="0" fillId="0" borderId="4" xfId="0" quotePrefix="1" applyBorder="1"/>
    <xf numFmtId="0" fontId="14" fillId="0" borderId="4" xfId="0" applyFont="1" applyBorder="1"/>
    <xf numFmtId="0" fontId="15" fillId="0" borderId="4" xfId="0" applyFont="1" applyBorder="1"/>
    <xf numFmtId="0" fontId="15" fillId="0" borderId="2" xfId="0" applyFont="1" applyBorder="1"/>
    <xf numFmtId="0" fontId="7" fillId="0" borderId="2" xfId="0" applyFont="1" applyBorder="1"/>
    <xf numFmtId="0" fontId="14" fillId="0" borderId="2" xfId="0" applyFont="1" applyBorder="1"/>
    <xf numFmtId="0" fontId="15" fillId="0" borderId="2" xfId="0" applyFont="1" applyBorder="1" applyAlignment="1">
      <alignment horizontal="left"/>
    </xf>
    <xf numFmtId="0" fontId="0" fillId="0" borderId="2" xfId="0" applyBorder="1" applyAlignment="1">
      <alignment horizontal="left"/>
    </xf>
    <xf numFmtId="0" fontId="16" fillId="0" borderId="1" xfId="0" applyFont="1" applyBorder="1"/>
    <xf numFmtId="0" fontId="16" fillId="0" borderId="2" xfId="0" applyFont="1" applyBorder="1"/>
    <xf numFmtId="0" fontId="16" fillId="0" borderId="0" xfId="0" applyFont="1"/>
    <xf numFmtId="0" fontId="16" fillId="0" borderId="5" xfId="0" applyFont="1" applyBorder="1" applyAlignment="1">
      <alignment horizontal="left"/>
    </xf>
    <xf numFmtId="0" fontId="16" fillId="0" borderId="12" xfId="0" applyFont="1" applyBorder="1" applyAlignment="1">
      <alignment horizontal="right"/>
    </xf>
    <xf numFmtId="0" fontId="2" fillId="5" borderId="0" xfId="0" applyFont="1" applyFill="1"/>
    <xf numFmtId="0" fontId="16" fillId="0" borderId="12" xfId="0" applyFont="1" applyBorder="1"/>
    <xf numFmtId="2" fontId="0" fillId="3" borderId="3" xfId="0" applyNumberFormat="1" applyFill="1" applyBorder="1"/>
    <xf numFmtId="0" fontId="2" fillId="2" borderId="0" xfId="0" applyFont="1" applyFill="1"/>
    <xf numFmtId="164" fontId="2" fillId="0" borderId="0" xfId="0" applyNumberFormat="1" applyFont="1"/>
    <xf numFmtId="1" fontId="2" fillId="0" borderId="0" xfId="0" applyNumberFormat="1" applyFont="1"/>
    <xf numFmtId="2" fontId="2" fillId="0" borderId="0" xfId="0" applyNumberFormat="1" applyFont="1"/>
    <xf numFmtId="0" fontId="16" fillId="0" borderId="5" xfId="0" applyFont="1" applyBorder="1"/>
    <xf numFmtId="164" fontId="0" fillId="0" borderId="0" xfId="0" applyNumberFormat="1" applyAlignment="1">
      <alignment horizontal="right"/>
    </xf>
    <xf numFmtId="0" fontId="6" fillId="2" borderId="0" xfId="0" applyFont="1" applyFill="1"/>
    <xf numFmtId="0" fontId="16" fillId="0" borderId="13" xfId="0" applyFont="1" applyBorder="1"/>
    <xf numFmtId="0" fontId="16" fillId="0" borderId="15" xfId="0" applyFont="1" applyBorder="1"/>
    <xf numFmtId="0" fontId="16" fillId="0" borderId="4" xfId="0" applyFont="1" applyBorder="1"/>
    <xf numFmtId="0" fontId="16" fillId="0" borderId="11" xfId="0" applyFont="1" applyBorder="1"/>
    <xf numFmtId="0" fontId="18" fillId="0" borderId="4" xfId="0" applyFont="1" applyBorder="1"/>
    <xf numFmtId="0" fontId="19" fillId="0" borderId="0" xfId="0" applyFont="1"/>
    <xf numFmtId="0" fontId="19" fillId="0" borderId="1" xfId="0" applyFont="1" applyBorder="1"/>
    <xf numFmtId="0" fontId="19" fillId="0" borderId="2" xfId="0" applyFont="1" applyBorder="1"/>
    <xf numFmtId="0" fontId="20" fillId="0" borderId="14" xfId="0" applyFont="1" applyBorder="1"/>
    <xf numFmtId="0" fontId="19" fillId="0" borderId="15" xfId="0" applyFont="1" applyBorder="1"/>
    <xf numFmtId="0" fontId="19" fillId="0" borderId="4" xfId="0" applyFont="1" applyBorder="1"/>
    <xf numFmtId="0" fontId="19" fillId="0" borderId="4" xfId="0" applyFont="1" applyBorder="1" applyAlignment="1">
      <alignment horizontal="left"/>
    </xf>
    <xf numFmtId="0" fontId="19" fillId="0" borderId="4" xfId="0" applyFont="1" applyBorder="1" applyAlignment="1">
      <alignment horizontal="right"/>
    </xf>
    <xf numFmtId="0" fontId="20" fillId="0" borderId="1" xfId="0" applyFont="1" applyBorder="1"/>
    <xf numFmtId="0" fontId="19" fillId="0" borderId="3" xfId="0" applyFont="1" applyBorder="1"/>
    <xf numFmtId="0" fontId="19" fillId="0" borderId="14" xfId="0" applyFont="1" applyBorder="1"/>
    <xf numFmtId="0" fontId="18" fillId="0" borderId="0" xfId="0" applyFont="1"/>
  </cellXfs>
  <cellStyles count="2">
    <cellStyle name="Normal" xfId="0" builtinId="0"/>
    <cellStyle name="Percent" xfId="1" builtinId="5"/>
  </cellStyles>
  <dxfs count="0"/>
  <tableStyles count="1" defaultTableStyle="TableStyleMedium2" defaultPivotStyle="PivotStyleLight16">
    <tableStyle name="Invisible" pivot="0" table="0" count="0" xr9:uid="{C3AC977C-40AF-4A8B-9DF2-C5DBB6B66D65}"/>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7/10/relationships/person" Target="persons/perso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jpeg"/></Relationships>
</file>

<file path=xl/drawings/_rels/drawing2.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jpe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3.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7.jpe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6.jpeg"/><Relationship Id="rId5" Type="http://schemas.openxmlformats.org/officeDocument/2006/relationships/image" Target="../media/image21.png"/><Relationship Id="rId10" Type="http://schemas.openxmlformats.org/officeDocument/2006/relationships/image" Target="../media/image15.png"/><Relationship Id="rId4" Type="http://schemas.openxmlformats.org/officeDocument/2006/relationships/image" Target="../media/image20.png"/><Relationship Id="rId9" Type="http://schemas.openxmlformats.org/officeDocument/2006/relationships/image" Target="../media/image25.png"/></Relationships>
</file>

<file path=xl/drawings/drawing1.xml><?xml version="1.0" encoding="utf-8"?>
<xdr:wsDr xmlns:xdr="http://schemas.openxmlformats.org/drawingml/2006/spreadsheetDrawing" xmlns:a="http://schemas.openxmlformats.org/drawingml/2006/main">
  <xdr:twoCellAnchor editAs="oneCell">
    <xdr:from>
      <xdr:col>1</xdr:col>
      <xdr:colOff>992642</xdr:colOff>
      <xdr:row>66</xdr:row>
      <xdr:rowOff>57816</xdr:rowOff>
    </xdr:from>
    <xdr:to>
      <xdr:col>5</xdr:col>
      <xdr:colOff>272569</xdr:colOff>
      <xdr:row>84</xdr:row>
      <xdr:rowOff>36963</xdr:rowOff>
    </xdr:to>
    <xdr:pic>
      <xdr:nvPicPr>
        <xdr:cNvPr id="2" name="Billede 1">
          <a:extLst>
            <a:ext uri="{FF2B5EF4-FFF2-40B4-BE49-F238E27FC236}">
              <a16:creationId xmlns:a16="http://schemas.microsoft.com/office/drawing/2014/main" id="{30710214-8AF7-4A22-8182-99A4D88C02A8}"/>
            </a:ext>
          </a:extLst>
        </xdr:cNvPr>
        <xdr:cNvPicPr>
          <a:picLocks noChangeAspect="1"/>
        </xdr:cNvPicPr>
      </xdr:nvPicPr>
      <xdr:blipFill>
        <a:blip xmlns:r="http://schemas.openxmlformats.org/officeDocument/2006/relationships" r:embed="rId1"/>
        <a:stretch>
          <a:fillRect/>
        </a:stretch>
      </xdr:blipFill>
      <xdr:spPr>
        <a:xfrm>
          <a:off x="2145167" y="12726066"/>
          <a:ext cx="3842402" cy="3408147"/>
        </a:xfrm>
        <a:prstGeom prst="rect">
          <a:avLst/>
        </a:prstGeom>
      </xdr:spPr>
    </xdr:pic>
    <xdr:clientData/>
  </xdr:twoCellAnchor>
  <xdr:twoCellAnchor editAs="oneCell">
    <xdr:from>
      <xdr:col>24</xdr:col>
      <xdr:colOff>17887</xdr:colOff>
      <xdr:row>0</xdr:row>
      <xdr:rowOff>0</xdr:rowOff>
    </xdr:from>
    <xdr:to>
      <xdr:col>25</xdr:col>
      <xdr:colOff>759462</xdr:colOff>
      <xdr:row>15</xdr:row>
      <xdr:rowOff>36258</xdr:rowOff>
    </xdr:to>
    <xdr:pic>
      <xdr:nvPicPr>
        <xdr:cNvPr id="3" name="Billede 4">
          <a:extLst>
            <a:ext uri="{FF2B5EF4-FFF2-40B4-BE49-F238E27FC236}">
              <a16:creationId xmlns:a16="http://schemas.microsoft.com/office/drawing/2014/main" id="{69219054-A886-434E-AA9E-22CF943A640A}"/>
            </a:ext>
          </a:extLst>
        </xdr:cNvPr>
        <xdr:cNvPicPr>
          <a:picLocks noChangeAspect="1"/>
        </xdr:cNvPicPr>
      </xdr:nvPicPr>
      <xdr:blipFill>
        <a:blip xmlns:r="http://schemas.openxmlformats.org/officeDocument/2006/relationships" r:embed="rId2"/>
        <a:stretch>
          <a:fillRect/>
        </a:stretch>
      </xdr:blipFill>
      <xdr:spPr>
        <a:xfrm>
          <a:off x="27983287" y="0"/>
          <a:ext cx="2741825" cy="2989008"/>
        </a:xfrm>
        <a:prstGeom prst="rect">
          <a:avLst/>
        </a:prstGeom>
      </xdr:spPr>
    </xdr:pic>
    <xdr:clientData/>
  </xdr:twoCellAnchor>
  <xdr:twoCellAnchor editAs="oneCell">
    <xdr:from>
      <xdr:col>26</xdr:col>
      <xdr:colOff>475291</xdr:colOff>
      <xdr:row>0</xdr:row>
      <xdr:rowOff>0</xdr:rowOff>
    </xdr:from>
    <xdr:to>
      <xdr:col>28</xdr:col>
      <xdr:colOff>1342853</xdr:colOff>
      <xdr:row>14</xdr:row>
      <xdr:rowOff>150611</xdr:rowOff>
    </xdr:to>
    <xdr:pic>
      <xdr:nvPicPr>
        <xdr:cNvPr id="4" name="Billede 1">
          <a:extLst>
            <a:ext uri="{FF2B5EF4-FFF2-40B4-BE49-F238E27FC236}">
              <a16:creationId xmlns:a16="http://schemas.microsoft.com/office/drawing/2014/main" id="{81381EC4-D55A-4085-9792-CB7548D8DEBB}"/>
            </a:ext>
          </a:extLst>
        </xdr:cNvPr>
        <xdr:cNvPicPr>
          <a:picLocks noChangeAspect="1"/>
        </xdr:cNvPicPr>
      </xdr:nvPicPr>
      <xdr:blipFill>
        <a:blip xmlns:r="http://schemas.openxmlformats.org/officeDocument/2006/relationships" r:embed="rId3"/>
        <a:stretch>
          <a:fillRect/>
        </a:stretch>
      </xdr:blipFill>
      <xdr:spPr>
        <a:xfrm>
          <a:off x="31355341" y="0"/>
          <a:ext cx="2563012" cy="2912861"/>
        </a:xfrm>
        <a:prstGeom prst="rect">
          <a:avLst/>
        </a:prstGeom>
      </xdr:spPr>
    </xdr:pic>
    <xdr:clientData/>
  </xdr:twoCellAnchor>
  <xdr:twoCellAnchor editAs="oneCell">
    <xdr:from>
      <xdr:col>13</xdr:col>
      <xdr:colOff>210456</xdr:colOff>
      <xdr:row>69</xdr:row>
      <xdr:rowOff>163286</xdr:rowOff>
    </xdr:from>
    <xdr:to>
      <xdr:col>17</xdr:col>
      <xdr:colOff>756221</xdr:colOff>
      <xdr:row>84</xdr:row>
      <xdr:rowOff>4500</xdr:rowOff>
    </xdr:to>
    <xdr:pic>
      <xdr:nvPicPr>
        <xdr:cNvPr id="5" name="Billede 22">
          <a:extLst>
            <a:ext uri="{FF2B5EF4-FFF2-40B4-BE49-F238E27FC236}">
              <a16:creationId xmlns:a16="http://schemas.microsoft.com/office/drawing/2014/main" id="{5BAF341D-191C-4B59-B93C-16B3437F9239}"/>
            </a:ext>
          </a:extLst>
        </xdr:cNvPr>
        <xdr:cNvPicPr>
          <a:picLocks noChangeAspect="1"/>
        </xdr:cNvPicPr>
      </xdr:nvPicPr>
      <xdr:blipFill>
        <a:blip xmlns:r="http://schemas.openxmlformats.org/officeDocument/2006/relationships" r:embed="rId4"/>
        <a:stretch>
          <a:fillRect/>
        </a:stretch>
      </xdr:blipFill>
      <xdr:spPr>
        <a:xfrm>
          <a:off x="17326881" y="13403036"/>
          <a:ext cx="4384340" cy="2698714"/>
        </a:xfrm>
        <a:prstGeom prst="rect">
          <a:avLst/>
        </a:prstGeom>
      </xdr:spPr>
    </xdr:pic>
    <xdr:clientData/>
  </xdr:twoCellAnchor>
  <xdr:twoCellAnchor editAs="oneCell">
    <xdr:from>
      <xdr:col>13</xdr:col>
      <xdr:colOff>152400</xdr:colOff>
      <xdr:row>0</xdr:row>
      <xdr:rowOff>152400</xdr:rowOff>
    </xdr:from>
    <xdr:to>
      <xdr:col>18</xdr:col>
      <xdr:colOff>257100</xdr:colOff>
      <xdr:row>15</xdr:row>
      <xdr:rowOff>1394</xdr:rowOff>
    </xdr:to>
    <xdr:pic>
      <xdr:nvPicPr>
        <xdr:cNvPr id="6" name="Billede 31">
          <a:extLst>
            <a:ext uri="{FF2B5EF4-FFF2-40B4-BE49-F238E27FC236}">
              <a16:creationId xmlns:a16="http://schemas.microsoft.com/office/drawing/2014/main" id="{F0CE6216-65A2-40F7-9E66-26AAA6A90CBC}"/>
            </a:ext>
          </a:extLst>
        </xdr:cNvPr>
        <xdr:cNvPicPr>
          <a:picLocks noChangeAspect="1"/>
        </xdr:cNvPicPr>
      </xdr:nvPicPr>
      <xdr:blipFill>
        <a:blip xmlns:r="http://schemas.openxmlformats.org/officeDocument/2006/relationships" r:embed="rId5"/>
        <a:stretch>
          <a:fillRect/>
        </a:stretch>
      </xdr:blipFill>
      <xdr:spPr>
        <a:xfrm>
          <a:off x="17268825" y="152400"/>
          <a:ext cx="4705275" cy="2801744"/>
        </a:xfrm>
        <a:prstGeom prst="rect">
          <a:avLst/>
        </a:prstGeom>
      </xdr:spPr>
    </xdr:pic>
    <xdr:clientData/>
  </xdr:twoCellAnchor>
  <xdr:twoCellAnchor editAs="oneCell">
    <xdr:from>
      <xdr:col>28</xdr:col>
      <xdr:colOff>2004730</xdr:colOff>
      <xdr:row>0</xdr:row>
      <xdr:rowOff>0</xdr:rowOff>
    </xdr:from>
    <xdr:to>
      <xdr:col>29</xdr:col>
      <xdr:colOff>744222</xdr:colOff>
      <xdr:row>15</xdr:row>
      <xdr:rowOff>114970</xdr:rowOff>
    </xdr:to>
    <xdr:pic>
      <xdr:nvPicPr>
        <xdr:cNvPr id="7" name="Billede 3">
          <a:extLst>
            <a:ext uri="{FF2B5EF4-FFF2-40B4-BE49-F238E27FC236}">
              <a16:creationId xmlns:a16="http://schemas.microsoft.com/office/drawing/2014/main" id="{57185559-C60D-4927-A56B-018D618CB056}"/>
            </a:ext>
          </a:extLst>
        </xdr:cNvPr>
        <xdr:cNvPicPr>
          <a:picLocks noChangeAspect="1"/>
        </xdr:cNvPicPr>
      </xdr:nvPicPr>
      <xdr:blipFill>
        <a:blip xmlns:r="http://schemas.openxmlformats.org/officeDocument/2006/relationships" r:embed="rId6"/>
        <a:stretch>
          <a:fillRect/>
        </a:stretch>
      </xdr:blipFill>
      <xdr:spPr>
        <a:xfrm>
          <a:off x="34580230" y="0"/>
          <a:ext cx="1215992" cy="3067720"/>
        </a:xfrm>
        <a:prstGeom prst="rect">
          <a:avLst/>
        </a:prstGeom>
      </xdr:spPr>
    </xdr:pic>
    <xdr:clientData/>
  </xdr:twoCellAnchor>
  <xdr:twoCellAnchor editAs="oneCell">
    <xdr:from>
      <xdr:col>30</xdr:col>
      <xdr:colOff>619439</xdr:colOff>
      <xdr:row>0</xdr:row>
      <xdr:rowOff>0</xdr:rowOff>
    </xdr:from>
    <xdr:to>
      <xdr:col>33</xdr:col>
      <xdr:colOff>758825</xdr:colOff>
      <xdr:row>14</xdr:row>
      <xdr:rowOff>93042</xdr:rowOff>
    </xdr:to>
    <xdr:pic>
      <xdr:nvPicPr>
        <xdr:cNvPr id="8" name="Billede 16">
          <a:extLst>
            <a:ext uri="{FF2B5EF4-FFF2-40B4-BE49-F238E27FC236}">
              <a16:creationId xmlns:a16="http://schemas.microsoft.com/office/drawing/2014/main" id="{3CDEF234-9750-4888-A082-F7FACD0BAE76}"/>
            </a:ext>
          </a:extLst>
        </xdr:cNvPr>
        <xdr:cNvPicPr>
          <a:picLocks noChangeAspect="1"/>
        </xdr:cNvPicPr>
      </xdr:nvPicPr>
      <xdr:blipFill>
        <a:blip xmlns:r="http://schemas.openxmlformats.org/officeDocument/2006/relationships" r:embed="rId7"/>
        <a:stretch>
          <a:fillRect/>
        </a:stretch>
      </xdr:blipFill>
      <xdr:spPr>
        <a:xfrm>
          <a:off x="36433439" y="0"/>
          <a:ext cx="2425386" cy="2855292"/>
        </a:xfrm>
        <a:prstGeom prst="rect">
          <a:avLst/>
        </a:prstGeom>
      </xdr:spPr>
    </xdr:pic>
    <xdr:clientData/>
  </xdr:twoCellAnchor>
  <xdr:twoCellAnchor editAs="oneCell">
    <xdr:from>
      <xdr:col>34</xdr:col>
      <xdr:colOff>477180</xdr:colOff>
      <xdr:row>1</xdr:row>
      <xdr:rowOff>38847</xdr:rowOff>
    </xdr:from>
    <xdr:to>
      <xdr:col>37</xdr:col>
      <xdr:colOff>213658</xdr:colOff>
      <xdr:row>14</xdr:row>
      <xdr:rowOff>62753</xdr:rowOff>
    </xdr:to>
    <xdr:pic>
      <xdr:nvPicPr>
        <xdr:cNvPr id="9" name="Billede 17">
          <a:extLst>
            <a:ext uri="{FF2B5EF4-FFF2-40B4-BE49-F238E27FC236}">
              <a16:creationId xmlns:a16="http://schemas.microsoft.com/office/drawing/2014/main" id="{4973982D-2315-421A-907A-0A5DCC1E3C17}"/>
            </a:ext>
          </a:extLst>
        </xdr:cNvPr>
        <xdr:cNvPicPr>
          <a:picLocks noChangeAspect="1"/>
        </xdr:cNvPicPr>
      </xdr:nvPicPr>
      <xdr:blipFill>
        <a:blip xmlns:r="http://schemas.openxmlformats.org/officeDocument/2006/relationships" r:embed="rId8"/>
        <a:stretch>
          <a:fillRect/>
        </a:stretch>
      </xdr:blipFill>
      <xdr:spPr>
        <a:xfrm>
          <a:off x="39339180" y="276972"/>
          <a:ext cx="2974978" cy="2548031"/>
        </a:xfrm>
        <a:prstGeom prst="rect">
          <a:avLst/>
        </a:prstGeom>
      </xdr:spPr>
    </xdr:pic>
    <xdr:clientData/>
  </xdr:twoCellAnchor>
  <xdr:twoCellAnchor>
    <xdr:from>
      <xdr:col>7</xdr:col>
      <xdr:colOff>80902</xdr:colOff>
      <xdr:row>84</xdr:row>
      <xdr:rowOff>160785</xdr:rowOff>
    </xdr:from>
    <xdr:to>
      <xdr:col>8</xdr:col>
      <xdr:colOff>1463248</xdr:colOff>
      <xdr:row>89</xdr:row>
      <xdr:rowOff>140941</xdr:rowOff>
    </xdr:to>
    <xdr:sp macro="" textlink="">
      <xdr:nvSpPr>
        <xdr:cNvPr id="10" name="Tekstfelt 2">
          <a:extLst>
            <a:ext uri="{FF2B5EF4-FFF2-40B4-BE49-F238E27FC236}">
              <a16:creationId xmlns:a16="http://schemas.microsoft.com/office/drawing/2014/main" id="{1E103C7D-3635-4A54-B044-B46C756B1793}"/>
            </a:ext>
          </a:extLst>
        </xdr:cNvPr>
        <xdr:cNvSpPr txBox="1"/>
      </xdr:nvSpPr>
      <xdr:spPr>
        <a:xfrm>
          <a:off x="7891402" y="16258035"/>
          <a:ext cx="5163771" cy="932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a-DK" sz="1100"/>
            <a:t>Angående brug af genbrugsmateriale siger</a:t>
          </a:r>
          <a:r>
            <a:rPr lang="da-DK" sz="1100" baseline="0"/>
            <a:t> Erik at 10-20 % kan anses som genbrug frem til slutningen af 1800-tallet. </a:t>
          </a:r>
        </a:p>
        <a:p>
          <a:endParaRPr lang="da-DK" sz="1100" baseline="0"/>
        </a:p>
        <a:p>
          <a:r>
            <a:rPr lang="da-DK" sz="1100" baseline="0"/>
            <a:t>Det antages at de materialer, som har været genbrugt er mursten og træmaterialer. </a:t>
          </a:r>
          <a:endParaRPr lang="da-DK" sz="1100"/>
        </a:p>
      </xdr:txBody>
    </xdr:sp>
    <xdr:clientData/>
  </xdr:twoCellAnchor>
  <xdr:twoCellAnchor>
    <xdr:from>
      <xdr:col>18</xdr:col>
      <xdr:colOff>7056</xdr:colOff>
      <xdr:row>132</xdr:row>
      <xdr:rowOff>189089</xdr:rowOff>
    </xdr:from>
    <xdr:to>
      <xdr:col>20</xdr:col>
      <xdr:colOff>1325653</xdr:colOff>
      <xdr:row>135</xdr:row>
      <xdr:rowOff>152401</xdr:rowOff>
    </xdr:to>
    <xdr:sp macro="" textlink="">
      <xdr:nvSpPr>
        <xdr:cNvPr id="11" name="Tekstfelt 10">
          <a:extLst>
            <a:ext uri="{FF2B5EF4-FFF2-40B4-BE49-F238E27FC236}">
              <a16:creationId xmlns:a16="http://schemas.microsoft.com/office/drawing/2014/main" id="{C098EE64-2FDC-4593-9374-A7D089D5FE0F}"/>
            </a:ext>
          </a:extLst>
        </xdr:cNvPr>
        <xdr:cNvSpPr txBox="1"/>
      </xdr:nvSpPr>
      <xdr:spPr>
        <a:xfrm>
          <a:off x="21724056" y="25430339"/>
          <a:ext cx="3395047" cy="53481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a-DK" sz="1100"/>
            <a:t>+1</a:t>
          </a:r>
          <a:r>
            <a:rPr lang="da-DK" sz="1100" baseline="0"/>
            <a:t> is added to pipes since they are introduced during the use stage. The same is true for drainspipes in PE/PP</a:t>
          </a:r>
        </a:p>
      </xdr:txBody>
    </xdr:sp>
    <xdr:clientData/>
  </xdr:twoCellAnchor>
  <xdr:twoCellAnchor editAs="oneCell">
    <xdr:from>
      <xdr:col>49</xdr:col>
      <xdr:colOff>784412</xdr:colOff>
      <xdr:row>35</xdr:row>
      <xdr:rowOff>162208</xdr:rowOff>
    </xdr:from>
    <xdr:to>
      <xdr:col>55</xdr:col>
      <xdr:colOff>3736</xdr:colOff>
      <xdr:row>62</xdr:row>
      <xdr:rowOff>167757</xdr:rowOff>
    </xdr:to>
    <xdr:pic>
      <xdr:nvPicPr>
        <xdr:cNvPr id="12" name="Billede 3">
          <a:extLst>
            <a:ext uri="{FF2B5EF4-FFF2-40B4-BE49-F238E27FC236}">
              <a16:creationId xmlns:a16="http://schemas.microsoft.com/office/drawing/2014/main" id="{D134499F-4D6E-4E8A-9D46-5CF71F1E7661}"/>
            </a:ext>
          </a:extLst>
        </xdr:cNvPr>
        <xdr:cNvPicPr>
          <a:picLocks noChangeAspect="1"/>
        </xdr:cNvPicPr>
      </xdr:nvPicPr>
      <xdr:blipFill>
        <a:blip xmlns:r="http://schemas.openxmlformats.org/officeDocument/2006/relationships" r:embed="rId9"/>
        <a:stretch>
          <a:fillRect/>
        </a:stretch>
      </xdr:blipFill>
      <xdr:spPr>
        <a:xfrm>
          <a:off x="54419687" y="6924958"/>
          <a:ext cx="4667624" cy="51490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847544</xdr:colOff>
      <xdr:row>72</xdr:row>
      <xdr:rowOff>28930</xdr:rowOff>
    </xdr:from>
    <xdr:to>
      <xdr:col>6</xdr:col>
      <xdr:colOff>1094596</xdr:colOff>
      <xdr:row>91</xdr:row>
      <xdr:rowOff>67683</xdr:rowOff>
    </xdr:to>
    <xdr:pic>
      <xdr:nvPicPr>
        <xdr:cNvPr id="2" name="Billede 2">
          <a:extLst>
            <a:ext uri="{FF2B5EF4-FFF2-40B4-BE49-F238E27FC236}">
              <a16:creationId xmlns:a16="http://schemas.microsoft.com/office/drawing/2014/main" id="{3C674858-4CE6-4E49-BCA9-E8C230FA7E83}"/>
            </a:ext>
          </a:extLst>
        </xdr:cNvPr>
        <xdr:cNvPicPr>
          <a:picLocks noChangeAspect="1"/>
        </xdr:cNvPicPr>
      </xdr:nvPicPr>
      <xdr:blipFill>
        <a:blip xmlns:r="http://schemas.openxmlformats.org/officeDocument/2006/relationships" r:embed="rId1"/>
        <a:stretch>
          <a:fillRect/>
        </a:stretch>
      </xdr:blipFill>
      <xdr:spPr>
        <a:xfrm>
          <a:off x="3238319" y="13887805"/>
          <a:ext cx="5171477" cy="3658253"/>
        </a:xfrm>
        <a:prstGeom prst="rect">
          <a:avLst/>
        </a:prstGeom>
      </xdr:spPr>
    </xdr:pic>
    <xdr:clientData/>
  </xdr:twoCellAnchor>
  <xdr:twoCellAnchor editAs="oneCell">
    <xdr:from>
      <xdr:col>7</xdr:col>
      <xdr:colOff>705394</xdr:colOff>
      <xdr:row>0</xdr:row>
      <xdr:rowOff>0</xdr:rowOff>
    </xdr:from>
    <xdr:to>
      <xdr:col>8</xdr:col>
      <xdr:colOff>82800</xdr:colOff>
      <xdr:row>19</xdr:row>
      <xdr:rowOff>35560</xdr:rowOff>
    </xdr:to>
    <xdr:pic>
      <xdr:nvPicPr>
        <xdr:cNvPr id="3" name="Billede 6">
          <a:extLst>
            <a:ext uri="{FF2B5EF4-FFF2-40B4-BE49-F238E27FC236}">
              <a16:creationId xmlns:a16="http://schemas.microsoft.com/office/drawing/2014/main" id="{AADD6C92-44EB-4396-B651-8CABACFB540E}"/>
            </a:ext>
          </a:extLst>
        </xdr:cNvPr>
        <xdr:cNvPicPr>
          <a:picLocks noChangeAspect="1"/>
        </xdr:cNvPicPr>
      </xdr:nvPicPr>
      <xdr:blipFill>
        <a:blip xmlns:r="http://schemas.openxmlformats.org/officeDocument/2006/relationships" r:embed="rId2"/>
        <a:stretch>
          <a:fillRect/>
        </a:stretch>
      </xdr:blipFill>
      <xdr:spPr>
        <a:xfrm>
          <a:off x="9401719" y="0"/>
          <a:ext cx="3092156" cy="3750310"/>
        </a:xfrm>
        <a:prstGeom prst="rect">
          <a:avLst/>
        </a:prstGeom>
      </xdr:spPr>
    </xdr:pic>
    <xdr:clientData/>
  </xdr:twoCellAnchor>
  <xdr:twoCellAnchor editAs="oneCell">
    <xdr:from>
      <xdr:col>24</xdr:col>
      <xdr:colOff>1996943</xdr:colOff>
      <xdr:row>5</xdr:row>
      <xdr:rowOff>125283</xdr:rowOff>
    </xdr:from>
    <xdr:to>
      <xdr:col>28</xdr:col>
      <xdr:colOff>3480</xdr:colOff>
      <xdr:row>22</xdr:row>
      <xdr:rowOff>133710</xdr:rowOff>
    </xdr:to>
    <xdr:pic>
      <xdr:nvPicPr>
        <xdr:cNvPr id="4" name="Billede 8">
          <a:extLst>
            <a:ext uri="{FF2B5EF4-FFF2-40B4-BE49-F238E27FC236}">
              <a16:creationId xmlns:a16="http://schemas.microsoft.com/office/drawing/2014/main" id="{70882BB6-DE58-48A2-9A4E-99D553AFE644}"/>
            </a:ext>
          </a:extLst>
        </xdr:cNvPr>
        <xdr:cNvPicPr>
          <a:picLocks noChangeAspect="1"/>
        </xdr:cNvPicPr>
      </xdr:nvPicPr>
      <xdr:blipFill>
        <a:blip xmlns:r="http://schemas.openxmlformats.org/officeDocument/2006/relationships" r:embed="rId3"/>
        <a:stretch>
          <a:fillRect/>
        </a:stretch>
      </xdr:blipFill>
      <xdr:spPr>
        <a:xfrm>
          <a:off x="33972368" y="1125408"/>
          <a:ext cx="4093012" cy="3294552"/>
        </a:xfrm>
        <a:prstGeom prst="rect">
          <a:avLst/>
        </a:prstGeom>
      </xdr:spPr>
    </xdr:pic>
    <xdr:clientData/>
  </xdr:twoCellAnchor>
  <xdr:twoCellAnchor editAs="oneCell">
    <xdr:from>
      <xdr:col>20</xdr:col>
      <xdr:colOff>552410</xdr:colOff>
      <xdr:row>58</xdr:row>
      <xdr:rowOff>56427</xdr:rowOff>
    </xdr:from>
    <xdr:to>
      <xdr:col>26</xdr:col>
      <xdr:colOff>1970</xdr:colOff>
      <xdr:row>85</xdr:row>
      <xdr:rowOff>6354</xdr:rowOff>
    </xdr:to>
    <xdr:pic>
      <xdr:nvPicPr>
        <xdr:cNvPr id="5" name="Billede 19">
          <a:extLst>
            <a:ext uri="{FF2B5EF4-FFF2-40B4-BE49-F238E27FC236}">
              <a16:creationId xmlns:a16="http://schemas.microsoft.com/office/drawing/2014/main" id="{71A778FC-8D32-450D-8D19-1FC0F946B159}"/>
            </a:ext>
          </a:extLst>
        </xdr:cNvPr>
        <xdr:cNvPicPr>
          <a:picLocks noChangeAspect="1"/>
        </xdr:cNvPicPr>
      </xdr:nvPicPr>
      <xdr:blipFill>
        <a:blip xmlns:r="http://schemas.openxmlformats.org/officeDocument/2006/relationships" r:embed="rId4"/>
        <a:stretch>
          <a:fillRect/>
        </a:stretch>
      </xdr:blipFill>
      <xdr:spPr>
        <a:xfrm>
          <a:off x="29460785" y="11248302"/>
          <a:ext cx="7079085" cy="5093427"/>
        </a:xfrm>
        <a:prstGeom prst="rect">
          <a:avLst/>
        </a:prstGeom>
      </xdr:spPr>
    </xdr:pic>
    <xdr:clientData/>
  </xdr:twoCellAnchor>
  <xdr:twoCellAnchor editAs="oneCell">
    <xdr:from>
      <xdr:col>35</xdr:col>
      <xdr:colOff>218280</xdr:colOff>
      <xdr:row>2</xdr:row>
      <xdr:rowOff>106434</xdr:rowOff>
    </xdr:from>
    <xdr:to>
      <xdr:col>40</xdr:col>
      <xdr:colOff>469787</xdr:colOff>
      <xdr:row>23</xdr:row>
      <xdr:rowOff>78811</xdr:rowOff>
    </xdr:to>
    <xdr:pic>
      <xdr:nvPicPr>
        <xdr:cNvPr id="6" name="Billede 14">
          <a:extLst>
            <a:ext uri="{FF2B5EF4-FFF2-40B4-BE49-F238E27FC236}">
              <a16:creationId xmlns:a16="http://schemas.microsoft.com/office/drawing/2014/main" id="{DEBAB1A1-6D93-4FC7-BBE7-2A0AE075DF87}"/>
            </a:ext>
          </a:extLst>
        </xdr:cNvPr>
        <xdr:cNvPicPr>
          <a:picLocks noChangeAspect="1"/>
        </xdr:cNvPicPr>
      </xdr:nvPicPr>
      <xdr:blipFill>
        <a:blip xmlns:r="http://schemas.openxmlformats.org/officeDocument/2006/relationships" r:embed="rId5"/>
        <a:stretch>
          <a:fillRect/>
        </a:stretch>
      </xdr:blipFill>
      <xdr:spPr>
        <a:xfrm>
          <a:off x="46405005" y="535059"/>
          <a:ext cx="5966507" cy="4020502"/>
        </a:xfrm>
        <a:prstGeom prst="rect">
          <a:avLst/>
        </a:prstGeom>
      </xdr:spPr>
    </xdr:pic>
    <xdr:clientData/>
  </xdr:twoCellAnchor>
  <xdr:oneCellAnchor>
    <xdr:from>
      <xdr:col>12</xdr:col>
      <xdr:colOff>670984</xdr:colOff>
      <xdr:row>181</xdr:row>
      <xdr:rowOff>31294</xdr:rowOff>
    </xdr:from>
    <xdr:ext cx="5184190" cy="4161905"/>
    <xdr:pic>
      <xdr:nvPicPr>
        <xdr:cNvPr id="7" name="Picture 1">
          <a:extLst>
            <a:ext uri="{FF2B5EF4-FFF2-40B4-BE49-F238E27FC236}">
              <a16:creationId xmlns:a16="http://schemas.microsoft.com/office/drawing/2014/main" id="{766BA5DD-05FA-4B06-85A1-74E03C3DCC30}"/>
            </a:ext>
          </a:extLst>
        </xdr:cNvPr>
        <xdr:cNvPicPr>
          <a:picLocks noChangeAspect="1"/>
        </xdr:cNvPicPr>
      </xdr:nvPicPr>
      <xdr:blipFill>
        <a:blip xmlns:r="http://schemas.openxmlformats.org/officeDocument/2006/relationships" r:embed="rId6"/>
        <a:stretch>
          <a:fillRect/>
        </a:stretch>
      </xdr:blipFill>
      <xdr:spPr>
        <a:xfrm>
          <a:off x="18387484" y="34664194"/>
          <a:ext cx="5184190" cy="4161905"/>
        </a:xfrm>
        <a:prstGeom prst="rect">
          <a:avLst/>
        </a:prstGeom>
      </xdr:spPr>
    </xdr:pic>
    <xdr:clientData/>
  </xdr:oneCellAnchor>
  <xdr:twoCellAnchor editAs="oneCell">
    <xdr:from>
      <xdr:col>58</xdr:col>
      <xdr:colOff>401563</xdr:colOff>
      <xdr:row>0</xdr:row>
      <xdr:rowOff>0</xdr:rowOff>
    </xdr:from>
    <xdr:to>
      <xdr:col>64</xdr:col>
      <xdr:colOff>620690</xdr:colOff>
      <xdr:row>22</xdr:row>
      <xdr:rowOff>141514</xdr:rowOff>
    </xdr:to>
    <xdr:pic>
      <xdr:nvPicPr>
        <xdr:cNvPr id="8" name="Billede 4">
          <a:extLst>
            <a:ext uri="{FF2B5EF4-FFF2-40B4-BE49-F238E27FC236}">
              <a16:creationId xmlns:a16="http://schemas.microsoft.com/office/drawing/2014/main" id="{8464C9E6-6659-4F98-9930-6F5E8CACF873}"/>
            </a:ext>
          </a:extLst>
        </xdr:cNvPr>
        <xdr:cNvPicPr>
          <a:picLocks noChangeAspect="1"/>
        </xdr:cNvPicPr>
      </xdr:nvPicPr>
      <xdr:blipFill>
        <a:blip xmlns:r="http://schemas.openxmlformats.org/officeDocument/2006/relationships" r:embed="rId7"/>
        <a:stretch>
          <a:fillRect/>
        </a:stretch>
      </xdr:blipFill>
      <xdr:spPr>
        <a:xfrm>
          <a:off x="68676763" y="0"/>
          <a:ext cx="6296077" cy="4427764"/>
        </a:xfrm>
        <a:prstGeom prst="rect">
          <a:avLst/>
        </a:prstGeom>
      </xdr:spPr>
    </xdr:pic>
    <xdr:clientData/>
  </xdr:twoCellAnchor>
  <xdr:twoCellAnchor>
    <xdr:from>
      <xdr:col>9</xdr:col>
      <xdr:colOff>50800</xdr:colOff>
      <xdr:row>117</xdr:row>
      <xdr:rowOff>50799</xdr:rowOff>
    </xdr:from>
    <xdr:to>
      <xdr:col>10</xdr:col>
      <xdr:colOff>1515533</xdr:colOff>
      <xdr:row>122</xdr:row>
      <xdr:rowOff>52122</xdr:rowOff>
    </xdr:to>
    <xdr:sp macro="" textlink="">
      <xdr:nvSpPr>
        <xdr:cNvPr id="9" name="Tekstfelt 8">
          <a:extLst>
            <a:ext uri="{FF2B5EF4-FFF2-40B4-BE49-F238E27FC236}">
              <a16:creationId xmlns:a16="http://schemas.microsoft.com/office/drawing/2014/main" id="{BB9E17C8-484F-4EEF-8760-9EAB43C7DB35}"/>
            </a:ext>
          </a:extLst>
        </xdr:cNvPr>
        <xdr:cNvSpPr txBox="1"/>
      </xdr:nvSpPr>
      <xdr:spPr>
        <a:xfrm>
          <a:off x="13843000" y="22482174"/>
          <a:ext cx="2093383" cy="9538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a-DK" sz="1100"/>
            <a:t>Angående brug af genbrugsmateriale siger</a:t>
          </a:r>
          <a:r>
            <a:rPr lang="da-DK" sz="1100" baseline="0"/>
            <a:t> Erik at 5 % kan anses som genbrug fra slutningen af 1800-tallet. </a:t>
          </a:r>
        </a:p>
        <a:p>
          <a:endParaRPr lang="da-DK" sz="1100" baseline="0"/>
        </a:p>
        <a:p>
          <a:r>
            <a:rPr lang="da-DK" sz="1100" baseline="0"/>
            <a:t>Det antages at de materialer, som har været genbrugt er mursten og træmaterialer. </a:t>
          </a:r>
          <a:endParaRPr lang="da-DK" sz="1100"/>
        </a:p>
      </xdr:txBody>
    </xdr:sp>
    <xdr:clientData/>
  </xdr:twoCellAnchor>
  <xdr:twoCellAnchor>
    <xdr:from>
      <xdr:col>25</xdr:col>
      <xdr:colOff>239046</xdr:colOff>
      <xdr:row>108</xdr:row>
      <xdr:rowOff>94775</xdr:rowOff>
    </xdr:from>
    <xdr:to>
      <xdr:col>29</xdr:col>
      <xdr:colOff>371774</xdr:colOff>
      <xdr:row>117</xdr:row>
      <xdr:rowOff>57623</xdr:rowOff>
    </xdr:to>
    <xdr:sp macro="" textlink="">
      <xdr:nvSpPr>
        <xdr:cNvPr id="10" name="Tekstfelt 10">
          <a:extLst>
            <a:ext uri="{FF2B5EF4-FFF2-40B4-BE49-F238E27FC236}">
              <a16:creationId xmlns:a16="http://schemas.microsoft.com/office/drawing/2014/main" id="{89F35BAA-AF88-4E28-9D72-E789E6A905C1}"/>
            </a:ext>
          </a:extLst>
        </xdr:cNvPr>
        <xdr:cNvSpPr txBox="1"/>
      </xdr:nvSpPr>
      <xdr:spPr>
        <a:xfrm>
          <a:off x="34214721" y="20811650"/>
          <a:ext cx="4980953" cy="167734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a-DK" sz="1100"/>
            <a:t>The use stage model </a:t>
          </a:r>
          <a:r>
            <a:rPr lang="da-DK" sz="1100" baseline="0"/>
            <a:t>the raw material used for renovation is calculated. This is only done for the material that is assumed to be exchnaged.</a:t>
          </a:r>
        </a:p>
        <a:p>
          <a:endParaRPr lang="da-DK" sz="1100" baseline="0"/>
        </a:p>
        <a:p>
          <a:r>
            <a:rPr lang="da-DK" sz="1100" baseline="0"/>
            <a:t>The foundation, wall anchor and bricks of the exterior and interior wall is assumed not to be renovated. The roof constructed is assmued not to be renovated. (if the model says 120 yr it is assumed that it is the same as for the total lifetime of the building).</a:t>
          </a:r>
        </a:p>
        <a:p>
          <a:endParaRPr lang="da-DK" sz="1100" baseline="0"/>
        </a:p>
        <a:p>
          <a:r>
            <a:rPr lang="da-DK" sz="1100" baseline="0"/>
            <a:t>In 1890's an extra floor is added in 1924 therefor material for exterior and interior can be found in the use stage.</a:t>
          </a:r>
          <a:endParaRPr lang="da-DK" sz="1100"/>
        </a:p>
      </xdr:txBody>
    </xdr:sp>
    <xdr:clientData/>
  </xdr:twoCellAnchor>
  <xdr:twoCellAnchor>
    <xdr:from>
      <xdr:col>26</xdr:col>
      <xdr:colOff>324310</xdr:colOff>
      <xdr:row>158</xdr:row>
      <xdr:rowOff>69021</xdr:rowOff>
    </xdr:from>
    <xdr:to>
      <xdr:col>27</xdr:col>
      <xdr:colOff>1953224</xdr:colOff>
      <xdr:row>161</xdr:row>
      <xdr:rowOff>194732</xdr:rowOff>
    </xdr:to>
    <xdr:sp macro="" textlink="">
      <xdr:nvSpPr>
        <xdr:cNvPr id="11" name="Tekstfelt 1">
          <a:extLst>
            <a:ext uri="{FF2B5EF4-FFF2-40B4-BE49-F238E27FC236}">
              <a16:creationId xmlns:a16="http://schemas.microsoft.com/office/drawing/2014/main" id="{830F3B2D-CDC7-46C6-93D7-14F88A9362FD}"/>
            </a:ext>
          </a:extLst>
        </xdr:cNvPr>
        <xdr:cNvSpPr txBox="1"/>
      </xdr:nvSpPr>
      <xdr:spPr>
        <a:xfrm>
          <a:off x="36862210" y="30310896"/>
          <a:ext cx="1200289" cy="6972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a-DK" sz="1100"/>
            <a:t>For Drain pipes (PP/PE) and both pipes in iron and plastic</a:t>
          </a:r>
          <a:r>
            <a:rPr lang="da-DK" sz="1100" baseline="0"/>
            <a:t> 1 is aded to the lifetime, since they are introduced into the house construction in the use phase</a:t>
          </a:r>
          <a:endParaRPr lang="da-DK"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813371</xdr:colOff>
      <xdr:row>0</xdr:row>
      <xdr:rowOff>156966</xdr:rowOff>
    </xdr:from>
    <xdr:to>
      <xdr:col>23</xdr:col>
      <xdr:colOff>70270</xdr:colOff>
      <xdr:row>12</xdr:row>
      <xdr:rowOff>131270</xdr:rowOff>
    </xdr:to>
    <xdr:pic>
      <xdr:nvPicPr>
        <xdr:cNvPr id="2" name="Billede 2">
          <a:extLst>
            <a:ext uri="{FF2B5EF4-FFF2-40B4-BE49-F238E27FC236}">
              <a16:creationId xmlns:a16="http://schemas.microsoft.com/office/drawing/2014/main" id="{E547E122-3464-4952-90D6-BC7687F3B15C}"/>
            </a:ext>
          </a:extLst>
        </xdr:cNvPr>
        <xdr:cNvPicPr>
          <a:picLocks noChangeAspect="1"/>
        </xdr:cNvPicPr>
      </xdr:nvPicPr>
      <xdr:blipFill>
        <a:blip xmlns:r="http://schemas.openxmlformats.org/officeDocument/2006/relationships" r:embed="rId1"/>
        <a:stretch>
          <a:fillRect/>
        </a:stretch>
      </xdr:blipFill>
      <xdr:spPr>
        <a:xfrm>
          <a:off x="28140596" y="156966"/>
          <a:ext cx="7010249" cy="2355554"/>
        </a:xfrm>
        <a:prstGeom prst="rect">
          <a:avLst/>
        </a:prstGeom>
      </xdr:spPr>
    </xdr:pic>
    <xdr:clientData/>
  </xdr:twoCellAnchor>
  <xdr:twoCellAnchor editAs="oneCell">
    <xdr:from>
      <xdr:col>14</xdr:col>
      <xdr:colOff>1029730</xdr:colOff>
      <xdr:row>0</xdr:row>
      <xdr:rowOff>0</xdr:rowOff>
    </xdr:from>
    <xdr:to>
      <xdr:col>18</xdr:col>
      <xdr:colOff>1367272</xdr:colOff>
      <xdr:row>14</xdr:row>
      <xdr:rowOff>152371</xdr:rowOff>
    </xdr:to>
    <xdr:pic>
      <xdr:nvPicPr>
        <xdr:cNvPr id="3" name="Billede 6">
          <a:extLst>
            <a:ext uri="{FF2B5EF4-FFF2-40B4-BE49-F238E27FC236}">
              <a16:creationId xmlns:a16="http://schemas.microsoft.com/office/drawing/2014/main" id="{74A8EC7A-0A27-4418-BB38-ED3C9284DFAE}"/>
            </a:ext>
          </a:extLst>
        </xdr:cNvPr>
        <xdr:cNvPicPr>
          <a:picLocks noChangeAspect="1"/>
        </xdr:cNvPicPr>
      </xdr:nvPicPr>
      <xdr:blipFill>
        <a:blip xmlns:r="http://schemas.openxmlformats.org/officeDocument/2006/relationships" r:embed="rId2"/>
        <a:stretch>
          <a:fillRect/>
        </a:stretch>
      </xdr:blipFill>
      <xdr:spPr>
        <a:xfrm>
          <a:off x="20117830" y="0"/>
          <a:ext cx="5747742" cy="2914621"/>
        </a:xfrm>
        <a:prstGeom prst="rect">
          <a:avLst/>
        </a:prstGeom>
      </xdr:spPr>
    </xdr:pic>
    <xdr:clientData/>
  </xdr:twoCellAnchor>
  <xdr:twoCellAnchor editAs="oneCell">
    <xdr:from>
      <xdr:col>37</xdr:col>
      <xdr:colOff>344605</xdr:colOff>
      <xdr:row>0</xdr:row>
      <xdr:rowOff>0</xdr:rowOff>
    </xdr:from>
    <xdr:to>
      <xdr:col>39</xdr:col>
      <xdr:colOff>148079</xdr:colOff>
      <xdr:row>15</xdr:row>
      <xdr:rowOff>123147</xdr:rowOff>
    </xdr:to>
    <xdr:pic>
      <xdr:nvPicPr>
        <xdr:cNvPr id="4" name="Billede 7">
          <a:extLst>
            <a:ext uri="{FF2B5EF4-FFF2-40B4-BE49-F238E27FC236}">
              <a16:creationId xmlns:a16="http://schemas.microsoft.com/office/drawing/2014/main" id="{40D47F30-F31E-4376-8082-C89185814C99}"/>
            </a:ext>
          </a:extLst>
        </xdr:cNvPr>
        <xdr:cNvPicPr>
          <a:picLocks noChangeAspect="1"/>
        </xdr:cNvPicPr>
      </xdr:nvPicPr>
      <xdr:blipFill>
        <a:blip xmlns:r="http://schemas.openxmlformats.org/officeDocument/2006/relationships" r:embed="rId3"/>
        <a:stretch>
          <a:fillRect/>
        </a:stretch>
      </xdr:blipFill>
      <xdr:spPr>
        <a:xfrm>
          <a:off x="49503130" y="0"/>
          <a:ext cx="2346649" cy="3075897"/>
        </a:xfrm>
        <a:prstGeom prst="rect">
          <a:avLst/>
        </a:prstGeom>
      </xdr:spPr>
    </xdr:pic>
    <xdr:clientData/>
  </xdr:twoCellAnchor>
  <xdr:twoCellAnchor editAs="oneCell">
    <xdr:from>
      <xdr:col>45</xdr:col>
      <xdr:colOff>965200</xdr:colOff>
      <xdr:row>0</xdr:row>
      <xdr:rowOff>0</xdr:rowOff>
    </xdr:from>
    <xdr:to>
      <xdr:col>47</xdr:col>
      <xdr:colOff>38101</xdr:colOff>
      <xdr:row>14</xdr:row>
      <xdr:rowOff>136790</xdr:rowOff>
    </xdr:to>
    <xdr:pic>
      <xdr:nvPicPr>
        <xdr:cNvPr id="5" name="Billede 12">
          <a:extLst>
            <a:ext uri="{FF2B5EF4-FFF2-40B4-BE49-F238E27FC236}">
              <a16:creationId xmlns:a16="http://schemas.microsoft.com/office/drawing/2014/main" id="{8E388E25-B3DF-4128-AB7B-9B519C500CEB}"/>
            </a:ext>
          </a:extLst>
        </xdr:cNvPr>
        <xdr:cNvPicPr>
          <a:picLocks noChangeAspect="1"/>
        </xdr:cNvPicPr>
      </xdr:nvPicPr>
      <xdr:blipFill>
        <a:blip xmlns:r="http://schemas.openxmlformats.org/officeDocument/2006/relationships" r:embed="rId4"/>
        <a:stretch>
          <a:fillRect/>
        </a:stretch>
      </xdr:blipFill>
      <xdr:spPr>
        <a:xfrm>
          <a:off x="58229500" y="0"/>
          <a:ext cx="3016251" cy="2899040"/>
        </a:xfrm>
        <a:prstGeom prst="rect">
          <a:avLst/>
        </a:prstGeom>
      </xdr:spPr>
    </xdr:pic>
    <xdr:clientData/>
  </xdr:twoCellAnchor>
  <xdr:twoCellAnchor editAs="oneCell">
    <xdr:from>
      <xdr:col>36</xdr:col>
      <xdr:colOff>877390</xdr:colOff>
      <xdr:row>39</xdr:row>
      <xdr:rowOff>52293</xdr:rowOff>
    </xdr:from>
    <xdr:to>
      <xdr:col>41</xdr:col>
      <xdr:colOff>612290</xdr:colOff>
      <xdr:row>59</xdr:row>
      <xdr:rowOff>159104</xdr:rowOff>
    </xdr:to>
    <xdr:pic>
      <xdr:nvPicPr>
        <xdr:cNvPr id="6" name="Billede 21">
          <a:extLst>
            <a:ext uri="{FF2B5EF4-FFF2-40B4-BE49-F238E27FC236}">
              <a16:creationId xmlns:a16="http://schemas.microsoft.com/office/drawing/2014/main" id="{DD82C654-70BB-4644-AE3B-BBD2F10F6C9C}"/>
            </a:ext>
          </a:extLst>
        </xdr:cNvPr>
        <xdr:cNvPicPr>
          <a:picLocks noChangeAspect="1"/>
        </xdr:cNvPicPr>
      </xdr:nvPicPr>
      <xdr:blipFill>
        <a:blip xmlns:r="http://schemas.openxmlformats.org/officeDocument/2006/relationships" r:embed="rId5"/>
        <a:stretch>
          <a:fillRect/>
        </a:stretch>
      </xdr:blipFill>
      <xdr:spPr>
        <a:xfrm>
          <a:off x="49159615" y="7577043"/>
          <a:ext cx="4678375" cy="3916811"/>
        </a:xfrm>
        <a:prstGeom prst="rect">
          <a:avLst/>
        </a:prstGeom>
      </xdr:spPr>
    </xdr:pic>
    <xdr:clientData/>
  </xdr:twoCellAnchor>
  <xdr:twoCellAnchor editAs="oneCell">
    <xdr:from>
      <xdr:col>37</xdr:col>
      <xdr:colOff>9038</xdr:colOff>
      <xdr:row>61</xdr:row>
      <xdr:rowOff>96697</xdr:rowOff>
    </xdr:from>
    <xdr:to>
      <xdr:col>41</xdr:col>
      <xdr:colOff>685796</xdr:colOff>
      <xdr:row>81</xdr:row>
      <xdr:rowOff>63972</xdr:rowOff>
    </xdr:to>
    <xdr:pic>
      <xdr:nvPicPr>
        <xdr:cNvPr id="7" name="Billede 22">
          <a:extLst>
            <a:ext uri="{FF2B5EF4-FFF2-40B4-BE49-F238E27FC236}">
              <a16:creationId xmlns:a16="http://schemas.microsoft.com/office/drawing/2014/main" id="{FAF04E8C-AD89-443C-9759-FAAF51258672}"/>
            </a:ext>
          </a:extLst>
        </xdr:cNvPr>
        <xdr:cNvPicPr>
          <a:picLocks noChangeAspect="1"/>
        </xdr:cNvPicPr>
      </xdr:nvPicPr>
      <xdr:blipFill>
        <a:blip xmlns:r="http://schemas.openxmlformats.org/officeDocument/2006/relationships" r:embed="rId6"/>
        <a:stretch>
          <a:fillRect/>
        </a:stretch>
      </xdr:blipFill>
      <xdr:spPr>
        <a:xfrm>
          <a:off x="49167563" y="11812447"/>
          <a:ext cx="4743933" cy="3777275"/>
        </a:xfrm>
        <a:prstGeom prst="rect">
          <a:avLst/>
        </a:prstGeom>
      </xdr:spPr>
    </xdr:pic>
    <xdr:clientData/>
  </xdr:twoCellAnchor>
  <xdr:twoCellAnchor editAs="oneCell">
    <xdr:from>
      <xdr:col>45</xdr:col>
      <xdr:colOff>3170443</xdr:colOff>
      <xdr:row>77</xdr:row>
      <xdr:rowOff>5780</xdr:rowOff>
    </xdr:from>
    <xdr:to>
      <xdr:col>50</xdr:col>
      <xdr:colOff>563399</xdr:colOff>
      <xdr:row>96</xdr:row>
      <xdr:rowOff>6158</xdr:rowOff>
    </xdr:to>
    <xdr:pic>
      <xdr:nvPicPr>
        <xdr:cNvPr id="8" name="Billede 23">
          <a:extLst>
            <a:ext uri="{FF2B5EF4-FFF2-40B4-BE49-F238E27FC236}">
              <a16:creationId xmlns:a16="http://schemas.microsoft.com/office/drawing/2014/main" id="{C4402E81-68CC-4B89-9350-2D761DF802DE}"/>
            </a:ext>
          </a:extLst>
        </xdr:cNvPr>
        <xdr:cNvPicPr>
          <a:picLocks noChangeAspect="1"/>
        </xdr:cNvPicPr>
      </xdr:nvPicPr>
      <xdr:blipFill>
        <a:blip xmlns:r="http://schemas.openxmlformats.org/officeDocument/2006/relationships" r:embed="rId7"/>
        <a:stretch>
          <a:fillRect/>
        </a:stretch>
      </xdr:blipFill>
      <xdr:spPr>
        <a:xfrm>
          <a:off x="60434743" y="14769530"/>
          <a:ext cx="3908056" cy="3619878"/>
        </a:xfrm>
        <a:prstGeom prst="rect">
          <a:avLst/>
        </a:prstGeom>
      </xdr:spPr>
    </xdr:pic>
    <xdr:clientData/>
  </xdr:twoCellAnchor>
  <xdr:twoCellAnchor editAs="oneCell">
    <xdr:from>
      <xdr:col>51</xdr:col>
      <xdr:colOff>502494</xdr:colOff>
      <xdr:row>81</xdr:row>
      <xdr:rowOff>12462</xdr:rowOff>
    </xdr:from>
    <xdr:to>
      <xdr:col>55</xdr:col>
      <xdr:colOff>372409</xdr:colOff>
      <xdr:row>98</xdr:row>
      <xdr:rowOff>118754</xdr:rowOff>
    </xdr:to>
    <xdr:pic>
      <xdr:nvPicPr>
        <xdr:cNvPr id="9" name="Billede 24">
          <a:extLst>
            <a:ext uri="{FF2B5EF4-FFF2-40B4-BE49-F238E27FC236}">
              <a16:creationId xmlns:a16="http://schemas.microsoft.com/office/drawing/2014/main" id="{8DE0D6B2-E377-434D-993F-621B39AA053C}"/>
            </a:ext>
          </a:extLst>
        </xdr:cNvPr>
        <xdr:cNvPicPr>
          <a:picLocks noChangeAspect="1"/>
        </xdr:cNvPicPr>
      </xdr:nvPicPr>
      <xdr:blipFill>
        <a:blip xmlns:r="http://schemas.openxmlformats.org/officeDocument/2006/relationships" r:embed="rId8"/>
        <a:stretch>
          <a:fillRect/>
        </a:stretch>
      </xdr:blipFill>
      <xdr:spPr>
        <a:xfrm>
          <a:off x="65043894" y="15538212"/>
          <a:ext cx="3537040" cy="3344792"/>
        </a:xfrm>
        <a:prstGeom prst="rect">
          <a:avLst/>
        </a:prstGeom>
      </xdr:spPr>
    </xdr:pic>
    <xdr:clientData/>
  </xdr:twoCellAnchor>
  <xdr:twoCellAnchor editAs="oneCell">
    <xdr:from>
      <xdr:col>53</xdr:col>
      <xdr:colOff>402537</xdr:colOff>
      <xdr:row>0</xdr:row>
      <xdr:rowOff>0</xdr:rowOff>
    </xdr:from>
    <xdr:to>
      <xdr:col>56</xdr:col>
      <xdr:colOff>580955</xdr:colOff>
      <xdr:row>17</xdr:row>
      <xdr:rowOff>63500</xdr:rowOff>
    </xdr:to>
    <xdr:pic>
      <xdr:nvPicPr>
        <xdr:cNvPr id="10" name="Billede 42">
          <a:extLst>
            <a:ext uri="{FF2B5EF4-FFF2-40B4-BE49-F238E27FC236}">
              <a16:creationId xmlns:a16="http://schemas.microsoft.com/office/drawing/2014/main" id="{A6C8D017-4161-42FE-B254-90927C81D741}"/>
            </a:ext>
          </a:extLst>
        </xdr:cNvPr>
        <xdr:cNvPicPr>
          <a:picLocks noChangeAspect="1"/>
        </xdr:cNvPicPr>
      </xdr:nvPicPr>
      <xdr:blipFill>
        <a:blip xmlns:r="http://schemas.openxmlformats.org/officeDocument/2006/relationships" r:embed="rId9"/>
        <a:stretch>
          <a:fillRect/>
        </a:stretch>
      </xdr:blipFill>
      <xdr:spPr>
        <a:xfrm>
          <a:off x="66467937" y="0"/>
          <a:ext cx="3083543" cy="3397250"/>
        </a:xfrm>
        <a:prstGeom prst="rect">
          <a:avLst/>
        </a:prstGeom>
      </xdr:spPr>
    </xdr:pic>
    <xdr:clientData/>
  </xdr:twoCellAnchor>
  <xdr:oneCellAnchor>
    <xdr:from>
      <xdr:col>15</xdr:col>
      <xdr:colOff>605704</xdr:colOff>
      <xdr:row>195</xdr:row>
      <xdr:rowOff>121522</xdr:rowOff>
    </xdr:from>
    <xdr:ext cx="5184190" cy="4161905"/>
    <xdr:pic>
      <xdr:nvPicPr>
        <xdr:cNvPr id="11" name="Picture 1">
          <a:extLst>
            <a:ext uri="{FF2B5EF4-FFF2-40B4-BE49-F238E27FC236}">
              <a16:creationId xmlns:a16="http://schemas.microsoft.com/office/drawing/2014/main" id="{73512ED8-6196-490C-8E04-05F5A359D511}"/>
            </a:ext>
          </a:extLst>
        </xdr:cNvPr>
        <xdr:cNvPicPr>
          <a:picLocks noChangeAspect="1"/>
        </xdr:cNvPicPr>
      </xdr:nvPicPr>
      <xdr:blipFill>
        <a:blip xmlns:r="http://schemas.openxmlformats.org/officeDocument/2006/relationships" r:embed="rId10"/>
        <a:stretch>
          <a:fillRect/>
        </a:stretch>
      </xdr:blipFill>
      <xdr:spPr>
        <a:xfrm>
          <a:off x="21627379" y="37373797"/>
          <a:ext cx="5184190" cy="4161905"/>
        </a:xfrm>
        <a:prstGeom prst="rect">
          <a:avLst/>
        </a:prstGeom>
      </xdr:spPr>
    </xdr:pic>
    <xdr:clientData/>
  </xdr:oneCellAnchor>
  <xdr:twoCellAnchor>
    <xdr:from>
      <xdr:col>9</xdr:col>
      <xdr:colOff>177800</xdr:colOff>
      <xdr:row>154</xdr:row>
      <xdr:rowOff>25400</xdr:rowOff>
    </xdr:from>
    <xdr:to>
      <xdr:col>11</xdr:col>
      <xdr:colOff>762000</xdr:colOff>
      <xdr:row>158</xdr:row>
      <xdr:rowOff>81280</xdr:rowOff>
    </xdr:to>
    <xdr:sp macro="" textlink="">
      <xdr:nvSpPr>
        <xdr:cNvPr id="12" name="Tekstfelt 11">
          <a:extLst>
            <a:ext uri="{FF2B5EF4-FFF2-40B4-BE49-F238E27FC236}">
              <a16:creationId xmlns:a16="http://schemas.microsoft.com/office/drawing/2014/main" id="{111964BF-E12C-43DF-B861-D66E7E68926D}"/>
            </a:ext>
          </a:extLst>
        </xdr:cNvPr>
        <xdr:cNvSpPr txBox="1"/>
      </xdr:nvSpPr>
      <xdr:spPr>
        <a:xfrm>
          <a:off x="13293725" y="29457650"/>
          <a:ext cx="3022600" cy="817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a-DK" sz="1100"/>
            <a:t>Angående brug af genbrugsmateriale siger</a:t>
          </a:r>
          <a:r>
            <a:rPr lang="da-DK" sz="1100" baseline="0"/>
            <a:t> Erik at 5 % kan anses som genbrug fra slutningen af 1800-tallet.  Huset er bygget i 1902 derfor antager vi at der ikke er genanvendelse.</a:t>
          </a:r>
        </a:p>
      </xdr:txBody>
    </xdr:sp>
    <xdr:clientData/>
  </xdr:twoCellAnchor>
  <xdr:twoCellAnchor>
    <xdr:from>
      <xdr:col>18</xdr:col>
      <xdr:colOff>2493434</xdr:colOff>
      <xdr:row>186</xdr:row>
      <xdr:rowOff>50800</xdr:rowOff>
    </xdr:from>
    <xdr:to>
      <xdr:col>21</xdr:col>
      <xdr:colOff>478368</xdr:colOff>
      <xdr:row>189</xdr:row>
      <xdr:rowOff>58889</xdr:rowOff>
    </xdr:to>
    <xdr:sp macro="" textlink="">
      <xdr:nvSpPr>
        <xdr:cNvPr id="13" name="Tekstfelt 3">
          <a:extLst>
            <a:ext uri="{FF2B5EF4-FFF2-40B4-BE49-F238E27FC236}">
              <a16:creationId xmlns:a16="http://schemas.microsoft.com/office/drawing/2014/main" id="{27D8BDC1-5A23-459B-BD32-910A16FDA6D1}"/>
            </a:ext>
          </a:extLst>
        </xdr:cNvPr>
        <xdr:cNvSpPr txBox="1"/>
      </xdr:nvSpPr>
      <xdr:spPr>
        <a:xfrm>
          <a:off x="26991734" y="35579050"/>
          <a:ext cx="5071534" cy="5795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a-DK" sz="1100"/>
            <a:t>+1 is added in pipes of iron and PP/PE and drain</a:t>
          </a:r>
          <a:r>
            <a:rPr lang="da-DK" sz="1100" baseline="0"/>
            <a:t> pipe/ gutter for PE/PP because they are introduced during the use stage.</a:t>
          </a:r>
          <a:endParaRPr lang="da-DK" sz="1100"/>
        </a:p>
      </xdr:txBody>
    </xdr:sp>
    <xdr:clientData/>
  </xdr:twoCellAnchor>
  <xdr:twoCellAnchor editAs="oneCell">
    <xdr:from>
      <xdr:col>80</xdr:col>
      <xdr:colOff>501650</xdr:colOff>
      <xdr:row>0</xdr:row>
      <xdr:rowOff>0</xdr:rowOff>
    </xdr:from>
    <xdr:to>
      <xdr:col>87</xdr:col>
      <xdr:colOff>758825</xdr:colOff>
      <xdr:row>25</xdr:row>
      <xdr:rowOff>1498</xdr:rowOff>
    </xdr:to>
    <xdr:pic>
      <xdr:nvPicPr>
        <xdr:cNvPr id="14" name="Billede 3">
          <a:extLst>
            <a:ext uri="{FF2B5EF4-FFF2-40B4-BE49-F238E27FC236}">
              <a16:creationId xmlns:a16="http://schemas.microsoft.com/office/drawing/2014/main" id="{90FEE979-618D-4326-8741-B063EA188E85}"/>
            </a:ext>
          </a:extLst>
        </xdr:cNvPr>
        <xdr:cNvPicPr>
          <a:picLocks noChangeAspect="1"/>
        </xdr:cNvPicPr>
      </xdr:nvPicPr>
      <xdr:blipFill>
        <a:blip xmlns:r="http://schemas.openxmlformats.org/officeDocument/2006/relationships" r:embed="rId11"/>
        <a:stretch>
          <a:fillRect/>
        </a:stretch>
      </xdr:blipFill>
      <xdr:spPr>
        <a:xfrm rot="16200000">
          <a:off x="92336189" y="-375489"/>
          <a:ext cx="4859248" cy="5610225"/>
        </a:xfrm>
        <a:prstGeom prst="rect">
          <a:avLst/>
        </a:prstGeom>
      </xdr:spPr>
    </xdr:pic>
    <xdr:clientData/>
  </xdr:twoCellAnchor>
  <xdr:twoCellAnchor editAs="oneCell">
    <xdr:from>
      <xdr:col>80</xdr:col>
      <xdr:colOff>508000</xdr:colOff>
      <xdr:row>24</xdr:row>
      <xdr:rowOff>127000</xdr:rowOff>
    </xdr:from>
    <xdr:to>
      <xdr:col>89</xdr:col>
      <xdr:colOff>368300</xdr:colOff>
      <xdr:row>53</xdr:row>
      <xdr:rowOff>67742</xdr:rowOff>
    </xdr:to>
    <xdr:pic>
      <xdr:nvPicPr>
        <xdr:cNvPr id="15" name="Billede 4">
          <a:extLst>
            <a:ext uri="{FF2B5EF4-FFF2-40B4-BE49-F238E27FC236}">
              <a16:creationId xmlns:a16="http://schemas.microsoft.com/office/drawing/2014/main" id="{01656B46-D1E7-41D2-944C-2C73099964AD}"/>
            </a:ext>
          </a:extLst>
        </xdr:cNvPr>
        <xdr:cNvPicPr>
          <a:picLocks noChangeAspect="1"/>
        </xdr:cNvPicPr>
      </xdr:nvPicPr>
      <xdr:blipFill>
        <a:blip xmlns:r="http://schemas.openxmlformats.org/officeDocument/2006/relationships" r:embed="rId12"/>
        <a:stretch>
          <a:fillRect/>
        </a:stretch>
      </xdr:blipFill>
      <xdr:spPr>
        <a:xfrm>
          <a:off x="91967050" y="4794250"/>
          <a:ext cx="6737350" cy="546524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syddanskuni-my.sharepoint.com/personal/simb_igt_sdu_dk/Documents/bso/Speciale/Bolig/Hvad%20vi%20ved/Typehus%20-%20Inventory.xlsx" TargetMode="External"/><Relationship Id="rId1" Type="http://schemas.openxmlformats.org/officeDocument/2006/relationships/externalLinkPath" Target="https://syddanskuni-my.sharepoint.com/personal/simb_igt_sdu_dk/Documents/bso/Speciale/Bolig/Hvad%20vi%20ved/Typehus%20-%20Inventory.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Life time"/>
      <sheetName val="End-of-life"/>
      <sheetName val="Typehus O1860"/>
      <sheetName val="Typehus AA1860"/>
      <sheetName val="Typehus O1890"/>
      <sheetName val="Typehus AA1890"/>
      <sheetName val="Typehus O1920"/>
      <sheetName val="Typehus AA1920"/>
      <sheetName val="Block-MICs"/>
      <sheetName val="How to model a building"/>
      <sheetName val="Typehuse O1970"/>
      <sheetName val="Typehus O2010"/>
      <sheetName val="Transport and Maunfacturing"/>
      <sheetName val="Energy use"/>
      <sheetName val="(outdated) CarbonFootprint - NC"/>
      <sheetName val="Carbonfootprint-C"/>
      <sheetName val="LCI"/>
    </sheetNames>
    <sheetDataSet>
      <sheetData sheetId="0" refreshError="1"/>
      <sheetData sheetId="1" refreshError="1"/>
      <sheetData sheetId="2">
        <row r="43">
          <cell r="AZ43">
            <v>0.11234449760765551</v>
          </cell>
        </row>
        <row r="64">
          <cell r="AL64">
            <v>9.5000000000000001E-2</v>
          </cell>
        </row>
      </sheetData>
      <sheetData sheetId="3" refreshError="1"/>
      <sheetData sheetId="4">
        <row r="52">
          <cell r="P52">
            <v>0.112344</v>
          </cell>
        </row>
      </sheetData>
      <sheetData sheetId="5">
        <row r="45">
          <cell r="AQ45">
            <v>5.0000000000000001E-3</v>
          </cell>
        </row>
        <row r="46">
          <cell r="AQ46">
            <v>0.05</v>
          </cell>
        </row>
        <row r="50">
          <cell r="AQ50">
            <v>7850</v>
          </cell>
          <cell r="AR50" t="str">
            <v>kg/m3</v>
          </cell>
        </row>
        <row r="107">
          <cell r="B107">
            <v>123.63500000000001</v>
          </cell>
        </row>
        <row r="155">
          <cell r="C155">
            <v>171.85047907305804</v>
          </cell>
        </row>
        <row r="156">
          <cell r="C156">
            <v>195.30097913207908</v>
          </cell>
        </row>
      </sheetData>
      <sheetData sheetId="6"/>
      <sheetData sheetId="7" refreshError="1"/>
      <sheetData sheetId="8" refreshError="1"/>
      <sheetData sheetId="9" refreshError="1"/>
      <sheetData sheetId="10"/>
      <sheetData sheetId="11">
        <row r="52">
          <cell r="L52">
            <v>142</v>
          </cell>
        </row>
        <row r="75">
          <cell r="M75">
            <v>177.05543616653301</v>
          </cell>
        </row>
        <row r="108">
          <cell r="M108">
            <v>44.532922499999998</v>
          </cell>
        </row>
      </sheetData>
      <sheetData sheetId="12" refreshError="1"/>
      <sheetData sheetId="13" refreshError="1"/>
      <sheetData sheetId="14" refreshError="1"/>
      <sheetData sheetId="15" refreshError="1"/>
      <sheetData sheetId="16" refreshError="1"/>
    </sheetDataSet>
  </externalBook>
</externalLink>
</file>

<file path=xl/persons/person.xml><?xml version="1.0" encoding="utf-8"?>
<personList xmlns="http://schemas.microsoft.com/office/spreadsheetml/2018/threadedcomments" xmlns:x="http://schemas.openxmlformats.org/spreadsheetml/2006/main">
  <person displayName="Matilde Julie Neergaard Andreasen" id="{E020EE70-52B7-4C3C-8D3D-999CD0DAA98A}" userId="S::matia17@student.sdu.dk::b0107a38-5f02-46c5-b048-3480689f83cc" providerId="AD"/>
  <person displayName="Trine Boje Røgild" id="{A8A093DC-846E-4612-8306-18E90BD427A7}" userId="S::trroe16@student.sdu.dk::c42bd59b-4728-427d-92e0-ce57f3bc70cf"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I57" dT="2022-01-17T12:47:52.16" personId="{A8A093DC-846E-4612-8306-18E90BD427A7}" id="{E475EE9F-4A47-4CB7-BD65-71A0B964D3E8}">
    <text>https://idenyt.dk/huset/bad1/alt-hvad-du-behoever-at-vide-om-dit-toilet/</text>
  </threadedComment>
</ThreadedComments>
</file>

<file path=xl/threadedComments/threadedComment2.xml><?xml version="1.0" encoding="utf-8"?>
<ThreadedComments xmlns="http://schemas.microsoft.com/office/spreadsheetml/2018/threadedcomments" xmlns:x="http://schemas.openxmlformats.org/spreadsheetml/2006/main">
  <threadedComment ref="B5" dT="2021-12-06T12:50:29.73" personId="{A8A093DC-846E-4612-8306-18E90BD427A7}" id="{238A9B99-6A23-4803-A2F4-B8894BBDBBC9}">
    <text>The gate was embodied in the house</text>
  </threadedComment>
  <threadedComment ref="J6" dT="2022-01-17T09:35:43.72" personId="{E020EE70-52B7-4C3C-8D3D-999CD0DAA98A}" id="{80A1419A-5BF0-41DB-9258-6D62B9E62A1E}">
    <text>https://www.byggebilligt.dk/images/pdf/Maalskema.pdf</text>
  </threadedComment>
  <threadedComment ref="BI6" dT="2022-01-24T10:41:47.41" personId="{E020EE70-52B7-4C3C-8D3D-999CD0DAA98A}" id="{0CBF8410-5410-4CC9-878D-721986D63F4C}">
    <text xml:space="preserve">Kilde [42] side 42 
Hvor man i 1880’erne kun havde (koldt) vand i køkken, (udvendigt) afløb fra køkkenvask og måske gas indlagt til madlavning, voksede mængden af installationer i boligbyggeriet efter 1880’erne.  
Derfor antages det at der var blevet indlagt vand i 1890 i den gennemsnitlige bolig </text>
  </threadedComment>
  <threadedComment ref="J7" dT="2022-01-17T09:42:39.92" personId="{E020EE70-52B7-4C3C-8D3D-999CD0DAA98A}" id="{508B245C-8646-433C-A92A-3E88650EFCFE}">
    <text>https://www.bolius.dk/valg-af-nye-termoruder-16770</text>
  </threadedComment>
  <threadedComment ref="I8" dT="2022-01-17T09:48:09.74" personId="{A8A093DC-846E-4612-8306-18E90BD427A7}" id="{52957C50-F3CC-4B66-9DFF-1EAC80716662}">
    <text>https://www.engineeringtoolbox.com/density-solids-d_1265.html</text>
  </threadedComment>
  <threadedComment ref="BI8" dT="2022-01-24T10:42:57.24" personId="{E020EE70-52B7-4C3C-8D3D-999CD0DAA98A}" id="{62554C2E-842F-493F-92E5-9C27C526E772}">
    <text xml:space="preserve">DST årbog 1928 
sde 27 tabel 28 
</text>
  </threadedComment>
  <threadedComment ref="E11" dT="2021-11-17T08:22:35.77" personId="{A8A093DC-846E-4612-8306-18E90BD427A7}" id="{5DBC7CD7-B3CE-4509-9735-A6DC6ACFCD0F}">
    <text>[33] side 7 - litteratur overblik</text>
  </threadedComment>
  <threadedComment ref="I11" dT="2022-02-14T08:13:02.96" personId="{E020EE70-52B7-4C3C-8D3D-999CD0DAA98A}" id="{A251AB63-A229-45BC-8AFB-2F9854C64A27}">
    <text>https://www.serviceindeogude.dk/praktiske-goremal-udfores/affaldstyper-sorteringsvejledning-affaldsfraktioner/guide-hvad-vejer-affald/</text>
  </threadedComment>
  <threadedComment ref="BI11" dT="2022-01-24T10:52:20.82" personId="{E020EE70-52B7-4C3C-8D3D-999CD0DAA98A}" id="{1C48B841-3C6A-40BF-9C15-E0446CD8C355}">
    <text>https://www.danva.dk/media/2668/vejledning-nr-60-plast_rapport_ver171.pdf</text>
  </threadedComment>
  <threadedComment ref="E12" dT="2021-11-17T08:52:58.46" personId="{A8A093DC-846E-4612-8306-18E90BD427A7}" id="{D69110FE-D397-4FA4-9E56-D08C63F62E0B}">
    <text>https://grat.dk/info/8-vaegtfaktor-skema</text>
  </threadedComment>
  <threadedComment ref="AR17" dT="2022-01-14T12:56:08.80" personId="{E020EE70-52B7-4C3C-8D3D-999CD0DAA98A}" id="{098C8DF3-14F2-4301-ABDA-3A08EDB3DEB1}">
    <text>https://slks.dk/fileadmin/user_upload/SLKS/Omraader/Kulturarv/Bygningsfredning/Gode_raad_om_vedligeholdelse/3.1_Fundamenter.pdf</text>
  </threadedComment>
  <threadedComment ref="BE17" dT="2022-01-24T11:58:08.67" personId="{E020EE70-52B7-4C3C-8D3D-999CD0DAA98A}" id="{C401E915-0EFB-4C1E-9226-D845EF1B0B65}">
    <text>https://www.trae.dk/leksikon/holdbarhed-levetider-for-trae/</text>
  </threadedComment>
  <threadedComment ref="AY18" dT="2021-12-08T13:57:22.58" personId="{A8A093DC-846E-4612-8306-18E90BD427A7}" id="{F1DE81CF-A197-4E40-A18D-AD727351C6D4}">
    <text>Dansk byggeskik page 109</text>
  </threadedComment>
  <threadedComment ref="V19" dT="2021-12-08T11:35:37.20" personId="{E020EE70-52B7-4C3C-8D3D-999CD0DAA98A}" id="{EB5ED197-5539-4C16-871B-FDB610D04CCF}">
    <text>Kilde [40]</text>
  </threadedComment>
  <threadedComment ref="V20" dT="2021-11-18T13:22:38.57" personId="{E020EE70-52B7-4C3C-8D3D-999CD0DAA98A}" id="{08A5C2B0-D4A9-4A1B-9253-2FEA61390D7B}">
    <text xml:space="preserve">Kilde [44]
</text>
  </threadedComment>
  <threadedComment ref="AD20" dT="2022-01-13T08:15:45.18" personId="{E020EE70-52B7-4C3C-8D3D-999CD0DAA98A}" id="{122A2E9A-AC71-4784-8CA3-7E6098283B3F}">
    <text>Dette er et estimat, da der ikke er tegninger der vider hele huset med skorsten</text>
  </threadedComment>
  <threadedComment ref="AR20" dT="2022-01-14T13:07:19.22" personId="{E020EE70-52B7-4C3C-8D3D-999CD0DAA98A}" id="{FC5B8F24-4077-4F05-8650-B113B3427FAD}">
    <text>https://falkegranit.dk/marksten-302/kampesten-p8600</text>
  </threadedComment>
  <threadedComment ref="AR21" dT="2022-01-14T13:07:22.78" personId="{E020EE70-52B7-4C3C-8D3D-999CD0DAA98A}" id="{B8AAF95D-FD4C-4A39-8E90-5416C52C63B9}">
    <text>https://falkegranit.dk/marksten-302/kampesten-p8600</text>
  </threadedComment>
  <threadedComment ref="AR22" dT="2022-01-14T13:08:04.15" personId="{E020EE70-52B7-4C3C-8D3D-999CD0DAA98A}" id="{3B4E0E6E-877B-4812-AE32-1E4A3D5B5478}">
    <text xml:space="preserve">Estimeret til at være 30 cm, da det eneste mål fundet, siger større end huset </text>
  </threadedComment>
  <threadedComment ref="H23" dT="2022-01-11T13:53:34.43" personId="{A8A093DC-846E-4612-8306-18E90BD427A7}" id="{1A4FD849-896E-4EF3-B343-A9833833DE50}">
    <text>Calculated for a Trapez</text>
  </threadedComment>
  <threadedComment ref="AR24" dT="2022-01-14T13:10:44.39" personId="{E020EE70-52B7-4C3C-8D3D-999CD0DAA98A}" id="{9A8FBDD7-DD41-4A82-92E2-A36A71473254}">
    <text xml:space="preserve">Da det ikke er muligt at finde et forhold, mellem sten og mørtel, estimeres det, at det er det samme som mursten og mørtel </text>
  </threadedComment>
  <threadedComment ref="AY26" dT="2021-12-08T13:57:09.26" personId="{A8A093DC-846E-4612-8306-18E90BD427A7}" id="{A691C064-E661-4B9D-8D71-1D48BEA1E562}">
    <text>Dank byggeskik page 109</text>
  </threadedComment>
  <threadedComment ref="Q28" dT="2022-01-14T11:46:29.17" personId="{A8A093DC-846E-4612-8306-18E90BD427A7}" id="{39F9A29E-14D6-4E07-B448-9ED3254AD2BB}">
    <text>The motor for the facade is only on the brick area</text>
  </threadedComment>
  <threadedComment ref="AU28" dT="2021-12-17T08:51:12.89" personId="{A8A093DC-846E-4612-8306-18E90BD427A7}" id="{F40D35E8-6084-4D1C-A4DE-D38A7122DA24}">
    <text>It is assumed that they are placed with 1 meters distance</text>
  </threadedComment>
  <threadedComment ref="R30" dT="2022-01-14T11:51:43.70" personId="{A8A093DC-846E-4612-8306-18E90BD427A7}" id="{CFF6443D-CF9B-45BA-BD61-8DF43FA16CB7}">
    <text>Based on values from The Old Town of Aarhus</text>
  </threadedComment>
  <threadedComment ref="AU30" dT="2021-12-17T08:53:10.63" personId="{A8A093DC-846E-4612-8306-18E90BD427A7}" id="{1CBF6749-6D14-48D6-9312-16F78CD3F19D}">
    <text>https://www.engineeringtoolbox.com/metal-alloys-densities-d_50.html</text>
  </threadedComment>
  <threadedComment ref="N32" dT="2022-01-13T08:22:31.06" personId="{A8A093DC-846E-4612-8306-18E90BD427A7}" id="{98A0CA93-5797-444B-82F1-C424BEF4145B}">
    <text>Here it is assumed that the bays on the front and backside is similar, therefore only the bay with the door calculations are changed for this side</text>
  </threadedComment>
  <threadedComment ref="AQ33" dT="2022-01-14T13:19:54.23" personId="{E020EE70-52B7-4C3C-8D3D-999CD0DAA98A}" id="{58C594F4-EBF5-4A9E-AF4F-AD41467A462A}">
    <text xml:space="preserve">Det antages at kampestenen er lavet af granit
</text>
  </threadedComment>
  <threadedComment ref="AQ33" dT="2022-01-14T13:21:30.96" personId="{E020EE70-52B7-4C3C-8D3D-999CD0DAA98A}" id="{874E8F3A-B2E3-4B73-A5ED-64609C57515C}" parentId="{58C594F4-EBF5-4A9E-AF4F-AD41467A462A}">
    <text>https://web.archive.org/web/20170831000357/http://www.edumine.com/xtoolkit/tables/sgtables.htm</text>
  </threadedComment>
  <threadedComment ref="Q34" dT="2022-01-13T09:03:06.34" personId="{A8A093DC-846E-4612-8306-18E90BD427A7}" id="{D8FFB513-DFCF-43B9-8469-F442E0603AF8}">
    <text>It is assumed that the gable side is similar in both ends</text>
  </threadedComment>
  <threadedComment ref="Z35" dT="2022-01-13T07:38:15.16" personId="{E020EE70-52B7-4C3C-8D3D-999CD0DAA98A}" id="{5431C3F4-BEA2-4474-AA1A-3B4D72C43CA9}">
    <text>Dette tal kommer fra O1860 huset, da det er der det bedste estimat på tykkelsen af et trin</text>
  </threadedComment>
  <threadedComment ref="AD35" dT="2022-01-13T08:49:25.34" personId="{E020EE70-52B7-4C3C-8D3D-999CD0DAA98A}" id="{09845510-761B-474D-8416-E3E7FD09E56A}">
    <text xml:space="preserve">talt på tegningen </text>
  </threadedComment>
  <threadedComment ref="AJ44" dT="2022-01-14T14:06:39.50" personId="{A8A093DC-846E-4612-8306-18E90BD427A7}" id="{61B7E007-EF5C-406D-AA9B-3A2681889FBF}">
    <text>Based in door/ wall relationship from ground floor</text>
  </threadedComment>
  <threadedComment ref="A45" dT="2021-12-17T12:37:27.64" personId="{A8A093DC-846E-4612-8306-18E90BD427A7}" id="{B7A6095B-DA3D-4325-B466-BCF4C1E49D78}">
    <text>In the floor area the partitions are neglected</text>
  </threadedComment>
  <threadedComment ref="V45" dT="2022-01-11T13:38:06.87" personId="{E020EE70-52B7-4C3C-8D3D-999CD0DAA98A}" id="{9E89D4FE-6393-43AF-AFAF-CCB732D6ADC0}">
    <text xml:space="preserve">De to i enderne er der taget højde for i udregningen for gavlen </text>
  </threadedComment>
  <threadedComment ref="R50" dT="2022-01-14T11:51:43.70" personId="{A8A093DC-846E-4612-8306-18E90BD427A7}" id="{791A0418-9B15-4C6F-BF66-369997685A40}">
    <text>Based on values from The Old Town of Aarhus</text>
  </threadedComment>
  <threadedComment ref="AG50" dT="2022-01-14T12:52:12.45" personId="{A8A093DC-846E-4612-8306-18E90BD427A7}" id="{4CA259AA-EB4F-469C-9858-DE3F81B3514F}">
    <text>It is assumed that a horisontal beam is placed with 1 meters distance and a vertical beam is placed between the horisontal beams</text>
  </threadedComment>
  <threadedComment ref="AG53" dT="2022-01-14T13:02:24.23" personId="{A8A093DC-846E-4612-8306-18E90BD427A7}" id="{11B40F4C-A68F-4D00-80C5-6299DD6D459E}">
    <text>Since a beam will take up 17 cm it is incoroprated in the the calculations</text>
  </threadedComment>
  <threadedComment ref="V56" dT="2021-12-08T12:51:41.67" personId="{E020EE70-52B7-4C3C-8D3D-999CD0DAA98A}" id="{D36A18E0-E5AF-4CF4-A7AA-72FAA8584719}">
    <text>De der ikke kunne findes konkrete mål fra bygningen, er der blevet benyttet standart mål for en taglægte http://www.traeinfo.dk/uploads/2011/08/BB01_-Laegtning_af_tage.pdf</text>
  </threadedComment>
  <threadedComment ref="A58" dT="2022-01-14T14:03:06.84" personId="{E020EE70-52B7-4C3C-8D3D-999CD0DAA98A}" id="{2B33BBAC-F216-46A1-BBDC-84AA4F405973}">
    <text xml:space="preserve">Hvor væggene og ildstedet er trukket fra </text>
  </threadedComment>
  <threadedComment ref="AQ63" dT="2022-01-14T13:37:44.22" personId="{E020EE70-52B7-4C3C-8D3D-999CD0DAA98A}" id="{3DA7CCF9-588B-42D3-930E-0DC114AC5E96}">
    <text xml:space="preserve">Da det ikke er muligt at se højden på den højre side, antages det at den er den samme som på venstre side </text>
  </threadedComment>
  <threadedComment ref="AQ64" dT="2022-01-14T13:37:51.75" personId="{E020EE70-52B7-4C3C-8D3D-999CD0DAA98A}" id="{5F1D1ED9-3939-4E4E-AFD4-A01971E4FDFF}">
    <text xml:space="preserve">Da det ikke er muligt at se højden på den højre side, antages det at den er den samme som på venstre side </text>
  </threadedComment>
  <threadedComment ref="BD66" dT="2022-01-17T12:47:52.16" personId="{A8A093DC-846E-4612-8306-18E90BD427A7}" id="{F25FCD62-0AB2-4EBB-84A3-015251D7ECBE}">
    <text>https://idenyt.dk/huset/bad1/alt-hvad-du-behoever-at-vide-om-dit-toilet/</text>
  </threadedComment>
  <threadedComment ref="AG73" dT="2022-01-14T13:31:15.41" personId="{A8A093DC-846E-4612-8306-18E90BD427A7}" id="{C9EBCF5C-715A-4020-80A0-8158576A023A}">
    <text>Partitions plaster area is multiplided with 2 since there are 2 sides</text>
  </threadedComment>
  <threadedComment ref="J104" dT="2021-12-17T08:21:05.36" personId="{A8A093DC-846E-4612-8306-18E90BD427A7}" id="{EF85CA42-1A5B-4CA6-A0F7-DCC7BE23BA89}">
    <text>Disse tal skal laves om til enheden m3</text>
  </threadedComment>
  <threadedComment ref="A108" dT="2021-12-17T08:21:05.36" personId="{A8A093DC-846E-4612-8306-18E90BD427A7}" id="{CD81402B-9292-4C0A-B050-13910A48F25F}">
    <text>Disse tal skal laves om til enheden m3</text>
  </threadedComment>
  <threadedComment ref="L136" dT="2022-01-24T12:21:51.69" personId="{A8A093DC-846E-4612-8306-18E90BD427A7}" id="{26BB1582-1857-45CA-8181-BA1AEF41FB73}">
    <text>Found from the single familiy house from 2010’s</text>
  </threadedComment>
  <threadedComment ref="J150" dT="2022-01-24T12:41:29.03" personId="{E020EE70-52B7-4C3C-8D3D-999CD0DAA98A}" id="{9CD8F0DE-6169-4114-A068-A0C438D47772}">
    <text>https://otv.dk/vidensbank/plasttyper/pp-polypropylen/</text>
  </threadedComment>
</ThreadedComments>
</file>

<file path=xl/threadedComments/threadedComment3.xml><?xml version="1.0" encoding="utf-8"?>
<ThreadedComments xmlns="http://schemas.microsoft.com/office/spreadsheetml/2018/threadedcomments" xmlns:x="http://schemas.openxmlformats.org/spreadsheetml/2006/main">
  <threadedComment ref="B5" dT="2021-12-06T12:50:29.73" personId="{A8A093DC-846E-4612-8306-18E90BD427A7}" id="{C2D991FD-5DDF-4B41-899F-6C52CD97D009}">
    <text>The gate was embodied in the house</text>
  </threadedComment>
  <threadedComment ref="CJ8" dT="2022-01-24T10:41:47.41" personId="{E020EE70-52B7-4C3C-8D3D-999CD0DAA98A}" id="{E9D11B84-7848-44CF-9BE5-C0EC3738EE25}">
    <text xml:space="preserve">Kilde [42] side 42 
Hvor man i 1880’erne kun havde (koldt) vand i køkken, (udvendigt) afløb fra køkkenvask og måske gas indlagt til madlavning, voksede mængden af installationer i boligbyggeriet efter 1880’erne.  
Derfor antages det at der var blevet indlagt vand i 1890 i den gennemsnitlige bolig </text>
  </threadedComment>
  <threadedComment ref="CJ10" dT="2022-01-24T10:42:57.24" personId="{E020EE70-52B7-4C3C-8D3D-999CD0DAA98A}" id="{AE055DA4-D609-47C9-A289-36DDB5DAB0C1}">
    <text xml:space="preserve">DST årbog 1928 
sde 27 tabel 28 
</text>
  </threadedComment>
  <threadedComment ref="E11" dT="2021-11-17T08:22:35.77" personId="{A8A093DC-846E-4612-8306-18E90BD427A7}" id="{10C566BA-7A4F-4708-B4BB-B1217BBE6C04}">
    <text>[33] side 7 - litteratur overblik</text>
  </threadedComment>
  <threadedComment ref="E12" dT="2021-11-17T08:52:58.46" personId="{A8A093DC-846E-4612-8306-18E90BD427A7}" id="{7D5FDFE1-9E9E-4B26-A37D-0A96ED76D065}">
    <text>https://grat.dk/info/8-vaegtfaktor-skema</text>
  </threadedComment>
  <threadedComment ref="CJ13" dT="2022-01-24T10:52:20.82" personId="{E020EE70-52B7-4C3C-8D3D-999CD0DAA98A}" id="{A8262FAD-2E6B-44FC-9C5D-6F1597A99BB9}">
    <text>https://www.danva.dk/media/2668/vejledning-nr-60-plast_rapport_ver171.pdf</text>
  </threadedComment>
  <threadedComment ref="F14" dT="2022-01-17T09:35:43.72" personId="{E020EE70-52B7-4C3C-8D3D-999CD0DAA98A}" id="{C6258C80-0FB7-436D-A0B7-FB846E115F91}">
    <text>https://www.byggebilligt.dk/images/pdf/Maalskema.pdf</text>
  </threadedComment>
  <threadedComment ref="F15" dT="2022-01-17T09:42:39.92" personId="{E020EE70-52B7-4C3C-8D3D-999CD0DAA98A}" id="{F84851C2-89DB-490F-A6BB-9BDE28E6D068}">
    <text>https://www.bolius.dk/valg-af-nye-termoruder-16770</text>
  </threadedComment>
  <threadedComment ref="E16" dT="2022-01-17T09:48:09.74" personId="{A8A093DC-846E-4612-8306-18E90BD427A7}" id="{CCF7C6C5-0F9C-4B61-B016-78C2D6BF039C}">
    <text>https://www.engineeringtoolbox.com/density-solids-d_1265.html</text>
  </threadedComment>
  <threadedComment ref="CD18" dT="2022-01-24T11:58:08.67" personId="{E020EE70-52B7-4C3C-8D3D-999CD0DAA98A}" id="{2B60E104-E252-4D9F-BBA0-6335DE4930AE}">
    <text>https://www.trae.dk/leksikon/holdbarhed-levetider-for-trae/</text>
  </threadedComment>
  <threadedComment ref="A20" dT="2021-12-17T12:37:27.64" personId="{A8A093DC-846E-4612-8306-18E90BD427A7}" id="{40738561-A7FA-40ED-B431-042851638066}">
    <text>In the floor area the partitions are neglected</text>
  </threadedComment>
  <threadedComment ref="CJ21" dT="2022-02-14T08:13:02.96" personId="{E020EE70-52B7-4C3C-8D3D-999CD0DAA98A}" id="{04181AA5-537A-4F46-A148-BA508451885A}">
    <text>https://www.serviceindeogude.dk/praktiske-goremal-udfores/affaldstyper-sorteringsvejledning-affaldsfraktioner/guide-hvad-vejer-affald/</text>
  </threadedComment>
  <threadedComment ref="L24" dT="2021-12-20T10:27:06.23" personId="{A8A093DC-846E-4612-8306-18E90BD427A7}" id="{34893B63-FB1F-4944-933E-7BC51F05F0C2}">
    <text>It is assumed that the walls facing the gable side is taken into account in the exterior wall calculations</text>
  </threadedComment>
  <threadedComment ref="Z25" dT="2021-12-20T10:09:25.10" personId="{E020EE70-52B7-4C3C-8D3D-999CD0DAA98A}" id="{3DAAED85-83B9-40AC-BFA0-87AD0AA8C199}">
    <text xml:space="preserve">Det antages at begge trapper er ens, da det ikke er til at regne på en trappe, der går rundt </text>
  </threadedComment>
  <threadedComment ref="A26" dT="2021-12-20T09:14:50.55" personId="{A8A093DC-846E-4612-8306-18E90BD427A7}" id="{616AFDAA-7B52-423E-913C-F1E1BF49A6EA}">
    <text>The first floor was added later</text>
  </threadedComment>
  <threadedComment ref="I26" dT="2021-12-08T11:35:37.20" personId="{E020EE70-52B7-4C3C-8D3D-999CD0DAA98A}" id="{AFC94551-6EEB-43CB-8FBA-0EE2A979FA07}">
    <text>Kilde [40]</text>
  </threadedComment>
  <threadedComment ref="I27" dT="2021-11-18T13:22:38.57" personId="{E020EE70-52B7-4C3C-8D3D-999CD0DAA98A}" id="{16DF44C8-33F1-478D-BA17-394CEB045CA4}">
    <text xml:space="preserve">Kilde [44]
</text>
  </threadedComment>
  <threadedComment ref="AY27" dT="2022-01-24T07:54:00.71" personId="{A8A093DC-846E-4612-8306-18E90BD427A7}" id="{B3201D11-237D-4504-AA77-29F67C67FD25}">
    <text>It is assumed that the ground floor and new first floor has the same scale in size og height</text>
  </threadedComment>
  <threadedComment ref="AD28" dT="2021-12-20T09:22:34.20" personId="{E020EE70-52B7-4C3C-8D3D-999CD0DAA98A}" id="{89BC9556-0AA1-4EEC-8EB5-88CD3E3AF8F3}">
    <text xml:space="preserve">sokkel
</text>
  </threadedComment>
  <threadedComment ref="AM29" dT="2021-12-20T11:53:09.77" personId="{E020EE70-52B7-4C3C-8D3D-999CD0DAA98A}" id="{705912CE-D1E3-4901-AEC5-523C16362E22}">
    <text xml:space="preserve">Opgivet på plantegningen fra den gamle by
</text>
  </threadedComment>
  <threadedComment ref="AY29" dT="2022-01-24T07:55:24.98" personId="{A8A093DC-846E-4612-8306-18E90BD427A7}" id="{9D298739-D5D4-46BD-A59F-6D7A833575BF}">
    <text>It is assumed that the windows has the same size</text>
  </threadedComment>
  <threadedComment ref="AH31" dT="2021-12-20T09:44:38.98" personId="{E020EE70-52B7-4C3C-8D3D-999CD0DAA98A}" id="{84056559-040D-41A2-8C66-C5A963F3ABE4}">
    <text>Denne antagelse bliver lavet, da det ikke er muligt at se en skorsten på huset, hverken før eller efter påsættelsen af den ekstra etage. Derfor antages en højde på 0.4 m, 
der er angivet af miljøministeriet. 
https://braendefyringsportalen.dk/borger/problemer-med-roeg/reglerne/krav-til-nye-skorstene/</text>
  </threadedComment>
  <threadedComment ref="AP31" dT="2021-12-20T12:00:36.73" personId="{A8A093DC-846E-4612-8306-18E90BD427A7}" id="{50B2CCC6-CE17-415E-87A7-AF9F9EDB8551}">
    <text>It is assumed that 2 pugging boards are left out in order to make the stairs</text>
  </threadedComment>
  <threadedComment ref="AA32" dT="2021-12-20T09:00:34.69" personId="{E020EE70-52B7-4C3C-8D3D-999CD0DAA98A}" id="{41C5BC4C-CD48-443D-ADD3-49B2C3469CF0}">
    <text>Kommer fra plantegningen, højden er den uden sokkel</text>
  </threadedComment>
  <threadedComment ref="U33" dT="2021-12-20T08:36:35.31" personId="{A8A093DC-846E-4612-8306-18E90BD427A7}" id="{EBE34067-24A8-43AF-B87C-DA7E5CAEDAE8}">
    <text>The thickness is provided by information form The Old City of Aarhus</text>
  </threadedComment>
  <threadedComment ref="BC33" dT="2021-12-20T08:36:35.31" personId="{A8A093DC-846E-4612-8306-18E90BD427A7}" id="{6D39E2E4-6CEA-451C-9EA2-F8C757C5FF42}">
    <text>The thickness is provided by information form The Old City of Aarhus</text>
  </threadedComment>
  <threadedComment ref="AA34" dT="2021-12-09T09:23:22.06" personId="{E020EE70-52B7-4C3C-8D3D-999CD0DAA98A}" id="{4E417E2A-9C20-44F5-8A80-243AA84BAA8F}">
    <text>Det antages at bagpladen på trappen er lige så tyk som et trappetrin</text>
  </threadedComment>
  <threadedComment ref="AA35" dT="2021-12-09T09:08:59.51" personId="{E020EE70-52B7-4C3C-8D3D-999CD0DAA98A}" id="{82AFDE86-BB94-43E0-A698-4646C1EE731F}">
    <text>Det antages at afstanden mellem to trin er det samme som i huset fra overgade 52</text>
  </threadedComment>
  <threadedComment ref="AP35" dT="2021-12-08T13:57:41.20" personId="{A8A093DC-846E-4612-8306-18E90BD427A7}" id="{DE96E08F-5287-42A5-9E35-FE48522E9C62}">
    <text>Dansk byggeskik page 109</text>
  </threadedComment>
  <threadedComment ref="AA37" dT="2021-12-09T09:14:38.98" personId="{E020EE70-52B7-4C3C-8D3D-999CD0DAA98A}" id="{3033918F-5000-404E-B9F3-FC5C0303E836}">
    <text xml:space="preserve">Dette er mål i huset på overgade 52 og det antages at det er en standard </text>
  </threadedComment>
  <threadedComment ref="AP37" dT="2021-12-08T13:33:50.16" personId="{A8A093DC-846E-4612-8306-18E90BD427A7}" id="{55B0D56D-2B39-47C6-80A2-975428B21929}">
    <text>https://www.engineeringtoolbox.com/dirt-mud-densities-d_1727.html Wet clay</text>
  </threadedComment>
  <threadedComment ref="BQ38" dT="2021-12-17T08:21:05.36" personId="{A8A093DC-846E-4612-8306-18E90BD427A7}" id="{F8B3DE14-2EAC-4C35-9CD8-DFAF607D2173}">
    <text>Disse tal skal laves om til enheden m3</text>
  </threadedComment>
  <threadedComment ref="AA39" dT="2021-12-09T09:17:11.82" personId="{E020EE70-52B7-4C3C-8D3D-999CD0DAA98A}" id="{5343729F-1C9C-414D-A3CA-9B2B86669999}">
    <text>Målet kommer fra den målte trappe på overgade 52</text>
  </threadedComment>
  <threadedComment ref="AA40" dT="2021-12-09T09:19:35.90" personId="{E020EE70-52B7-4C3C-8D3D-999CD0DAA98A}" id="{621A5271-A4BC-4786-950E-062FCE211FF1}">
    <text>Målet kommer fra den målte trappe på overgade 52</text>
  </threadedComment>
  <threadedComment ref="I42" dT="2021-12-20T08:33:58.90" personId="{E020EE70-52B7-4C3C-8D3D-999CD0DAA98A}" id="{D27EA116-D385-46EC-8D0D-F58B1F227A87}">
    <text xml:space="preserve">Det antages at bjælkerne er kvadratiske
</text>
  </threadedComment>
  <threadedComment ref="I43" dT="2021-12-20T08:33:03.82" personId="{E020EE70-52B7-4C3C-8D3D-999CD0DAA98A}" id="{D0C88F3B-454F-4286-985A-CA5588E02291}">
    <text>Afmålt på plantegninge</text>
  </threadedComment>
  <threadedComment ref="AA43" dT="2021-12-09T09:28:19.70" personId="{E020EE70-52B7-4C3C-8D3D-999CD0DAA98A}" id="{B77DB1C7-4B0D-4922-9665-4278C4056A05}">
    <text>Det antages at sidestykket mellem trappen og væggen er 0.2 m, dette fås fra trappeberegningen fra 1860</text>
  </threadedComment>
  <threadedComment ref="AP48" dT="2021-12-17T08:51:12.89" personId="{A8A093DC-846E-4612-8306-18E90BD427A7}" id="{FA1B4190-A2DE-4379-BE4B-00584472F9BC}">
    <text>It is assumed that they are placed with 1 meters distance</text>
  </threadedComment>
  <threadedComment ref="BC48" dT="2022-01-24T14:16:32.34" personId="{A8A093DC-846E-4612-8306-18E90BD427A7}" id="{42485309-6D64-4FCF-B334-42452CC3F38F}">
    <text>https://danskbyggeskik.dk/Publikationer/1100%20-%20Generalbeskrivelse.pdf
s.37</text>
  </threadedComment>
  <threadedComment ref="AP50" dT="2021-12-17T08:53:10.63" personId="{A8A093DC-846E-4612-8306-18E90BD427A7}" id="{E40C427A-BA57-46E7-970F-A8E4553B6092}">
    <text>https://www.engineeringtoolbox.com/metal-alloys-densities-d_50.html</text>
  </threadedComment>
  <threadedComment ref="V51" dT="2021-12-20T08:36:35.31" personId="{A8A093DC-846E-4612-8306-18E90BD427A7}" id="{74F5688D-1E6F-48AE-BABE-C305A4BF718E}">
    <text>The thickness is provided by information form The Old City of Aarhus</text>
  </threadedComment>
  <threadedComment ref="AP55" dT="2021-12-08T13:57:22.58" personId="{A8A093DC-846E-4612-8306-18E90BD427A7}" id="{8862111D-F661-449D-93AE-AF8A0528A21A}">
    <text>Dansk byggeskik page 109</text>
  </threadedComment>
  <threadedComment ref="AQ55" dT="2021-12-20T12:01:43.66" personId="{E020EE70-52B7-4C3C-8D3D-999CD0DAA98A}" id="{3F70DC29-7330-460C-BDD0-87227E989E5C}">
    <text xml:space="preserve">Fra dansk byggeskik
</text>
  </threadedComment>
  <threadedComment ref="I58" dT="2021-12-20T08:44:29.22" personId="{E020EE70-52B7-4C3C-8D3D-999CD0DAA98A}" id="{F099DDAB-91CE-4B5A-8C6D-34703198C314}">
    <text>Da dette tal er varierende og den konkrete afstand ikke kan findes, er der blevet brugt den samme afstand som fundet i huset fra 1860</text>
  </threadedComment>
  <threadedComment ref="I63" dT="2021-12-08T12:51:41.67" personId="{E020EE70-52B7-4C3C-8D3D-999CD0DAA98A}" id="{3007045B-8A0C-45DE-B5F7-0B5E940A310F}">
    <text>De der ikke kunne findes konkrete mål fra bygningen, er der blevet benyttet standart mål for en taglægte http://www.traeinfo.dk/uploads/2011/08/BB01_-Laegtning_af_tage.pdf</text>
  </threadedComment>
  <threadedComment ref="AP66" dT="2021-12-08T13:57:09.26" personId="{A8A093DC-846E-4612-8306-18E90BD427A7}" id="{DAE9BE79-0528-4A1D-92D0-C56E88166961}">
    <text>Dank byggeskik page 109</text>
  </threadedComment>
  <threadedComment ref="AQ66" dT="2021-12-20T12:05:30.01" personId="{E020EE70-52B7-4C3C-8D3D-999CD0DAA98A}" id="{FD082B81-2F91-4D85-B6A0-13AC2C8B66CC}">
    <text xml:space="preserve">Dansk byggeskik
</text>
  </threadedComment>
  <threadedComment ref="AY67" dT="2022-01-24T08:31:18.49" personId="{A8A093DC-846E-4612-8306-18E90BD427A7}" id="{085081C1-CE23-440F-B481-6E28DA6CB772}">
    <text>It is assumed that new drain pipes are connected to the old once</text>
  </threadedComment>
  <threadedComment ref="CC67" dT="2022-01-17T12:47:52.16" personId="{A8A093DC-846E-4612-8306-18E90BD427A7}" id="{B44EA4A8-EA4D-4D8F-A7C6-785EDDDD4F89}">
    <text>https://idenyt.dk/huset/bad1/alt-hvad-du-behoever-at-vide-om-dit-toilet/</text>
  </threadedComment>
  <threadedComment ref="AP71" dT="2022-01-24T14:16:32.34" personId="{A8A093DC-846E-4612-8306-18E90BD427A7}" id="{E219079D-AA22-407A-A9E9-82C472824633}">
    <text>https://danskbyggeskik.dk/Publikationer/1100%20-%20Generalbeskrivelse.pdf
s.37</text>
  </threadedComment>
  <threadedComment ref="I72" dT="2022-01-24T13:26:31.93" personId="{E020EE70-52B7-4C3C-8D3D-999CD0DAA98A}" id="{B4CE038D-EB68-40C3-A573-857D7F96D835}">
    <text>https://www.bygogbolig.dk/wp-content/uploads/brochures/cembrit_TAG-ProduktdataEternitB7boelgeplade.pdf</text>
  </threadedComment>
  <threadedComment ref="R85" dT="2021-12-20T10:35:52.09" personId="{A8A093DC-846E-4612-8306-18E90BD427A7}" id="{65E73DFD-5939-4B8F-8BE9-8506CD58F8B0}">
    <text>Since the hight is unknown it is assumed that the window as the same hight as on the ground floor</text>
  </threadedComment>
  <threadedComment ref="R91" dT="2021-12-20T11:27:22.05" personId="{A8A093DC-846E-4612-8306-18E90BD427A7}" id="{9F87B12F-EDE0-47FB-A790-815ED134FBDF}">
    <text>It is assumed that the ratio between glass and frame is the same as for the ground floor</text>
  </threadedComment>
  <threadedComment ref="M119" dT="2021-12-17T08:21:05.36" personId="{A8A093DC-846E-4612-8306-18E90BD427A7}" id="{DF5AEEE4-D7DA-4A5B-97AA-B126415D6931}">
    <text>Disse tal skal laves om til enheden m3</text>
  </threadedComment>
  <threadedComment ref="A123" dT="2021-12-17T08:21:05.36" personId="{A8A093DC-846E-4612-8306-18E90BD427A7}" id="{C883919F-2894-405C-A89C-DDC82ADA3A64}">
    <text>Disse tal skal laves om til enheden m3</text>
  </threadedComment>
  <threadedComment ref="M170" dT="2022-01-24T12:41:29.03" personId="{E020EE70-52B7-4C3C-8D3D-999CD0DAA98A}" id="{C8CC18FB-69E9-49A7-ACF9-A51C66356CF0}">
    <text>https://otv.dk/vidensbank/plasttyper/pp-polypropylen/</text>
  </threadedComment>
  <threadedComment ref="A231" dT="2022-01-21T09:49:39.76" personId="{A8A093DC-846E-4612-8306-18E90BD427A7}" id="{835B3B4B-C737-4C66-AAC6-49CFD248F614}">
    <text>https://www.dalmosebraende.dk/cms-massefylde-og-brandvaerdi-for-braende</text>
  </threadedComment>
</ThreadedComments>
</file>

<file path=xl/threadedComments/threadedComment4.xml><?xml version="1.0" encoding="utf-8"?>
<ThreadedComments xmlns="http://schemas.microsoft.com/office/spreadsheetml/2018/threadedcomments" xmlns:x="http://schemas.openxmlformats.org/spreadsheetml/2006/main">
  <threadedComment ref="J2" dT="2022-01-17T09:35:43.72" personId="{E020EE70-52B7-4C3C-8D3D-999CD0DAA98A}" id="{63F053FA-9431-4943-B483-2A2E890B927C}">
    <text>https://www.byggebilligt.dk/images/pdf/Maalskema.pdf</text>
  </threadedComment>
  <threadedComment ref="J3" dT="2022-01-17T09:42:39.92" personId="{E020EE70-52B7-4C3C-8D3D-999CD0DAA98A}" id="{AE051769-FA33-4853-92C3-B6B9F64BF17A}">
    <text>https://www.bolius.dk/valg-af-nye-termoruder-16770</text>
  </threadedComment>
  <threadedComment ref="I4" dT="2022-01-17T09:48:09.74" personId="{A8A093DC-846E-4612-8306-18E90BD427A7}" id="{4E095D1C-9A9D-460A-8044-FD33026B91F6}">
    <text>https://www.engineeringtoolbox.com/density-solids-d_1265.html</text>
  </threadedComment>
  <threadedComment ref="E11" dT="2021-11-17T08:22:35.77" personId="{A8A093DC-846E-4612-8306-18E90BD427A7}" id="{9403A14B-46DB-4F03-9686-3DFC2D1A21AA}">
    <text>[33] side 7 - litteratur overblik</text>
  </threadedComment>
  <threadedComment ref="E12" dT="2021-11-17T08:52:58.46" personId="{A8A093DC-846E-4612-8306-18E90BD427A7}" id="{F0F42A5D-C01E-4818-B63E-BD8459C7397A}">
    <text>https://grat.dk/info/8-vaegtfaktor-skema</text>
  </threadedComment>
  <threadedComment ref="K17" dT="2022-01-11T12:04:28.15" personId="{A8A093DC-846E-4612-8306-18E90BD427A7}" id="{9F31CA56-E986-493E-9A61-B650D6084218}">
    <text>The ground floor layer is a 1,5 brick wall. Therefore an extra layer of brick must be included</text>
  </threadedComment>
  <threadedComment ref="AE18" dT="2021-12-21T08:11:20.49" personId="{A8A093DC-846E-4612-8306-18E90BD427A7}" id="{2C1CD64C-58C3-43AF-BF7F-1BA5B22762FE}">
    <text>It is assumed based on the floor plan that the ground floor and first floor are symetrical in partition measurements</text>
  </threadedComment>
  <threadedComment ref="O19" dT="2021-12-20T12:52:19.01" personId="{E020EE70-52B7-4C3C-8D3D-999CD0DAA98A}" id="{2D96FBAC-9C95-4B59-AD64-5645A5492CE5}">
    <text>Talene kommer fra plantegningen af tagværket</text>
  </threadedComment>
  <threadedComment ref="X19" dT="2021-12-08T12:51:41.67" personId="{E020EE70-52B7-4C3C-8D3D-999CD0DAA98A}" id="{E8489571-CE57-40A6-A0F1-B344DE41F5FC}">
    <text>De der ikke kunne findes konkrete mål fra bygningen. Der er blevet benyttet standart mål for en taglægte http://www.traeinfo.dk/uploads/2011/08/BB01_-Laegtning_af_tage.pdf</text>
  </threadedComment>
  <threadedComment ref="BQ19" dT="2021-12-21T10:28:47.84" personId="{A8A093DC-846E-4612-8306-18E90BD427A7}" id="{3F29C15A-2B0F-4BC6-B338-F9FC599BE1CB}">
    <text>The drain pipes have not been drawn on the floor plans. However they can be seen from pictures of the house therefore the measurements are estimated based on what can be seen in the pictures.</text>
  </threadedComment>
  <threadedComment ref="BM20" dT="2021-12-08T13:57:22.58" personId="{A8A093DC-846E-4612-8306-18E90BD427A7}" id="{FEB111D7-6605-45DA-9797-18DC2323785F}">
    <text>Dansk byggeskik page 109</text>
  </threadedComment>
  <threadedComment ref="BN20" dT="2021-12-20T12:01:43.66" personId="{E020EE70-52B7-4C3C-8D3D-999CD0DAA98A}" id="{75E0A2E6-D91B-44EB-BE9D-4364D6770B38}">
    <text xml:space="preserve">Fra dansk byggeskik
</text>
  </threadedComment>
  <threadedComment ref="X21" dT="2021-12-20T14:03:38.00" personId="{E020EE70-52B7-4C3C-8D3D-999CD0DAA98A}" id="{A6C459BF-EE05-43C6-8B4A-E9DCD526ED5C}">
    <text>Aflæst på plantegningen - Tværsnit mod syd gennem trapper</text>
  </threadedComment>
  <threadedComment ref="AE24" dT="2021-12-21T08:12:55.16" personId="{A8A093DC-846E-4612-8306-18E90BD427A7}" id="{83319EF9-88D6-45E5-8056-D39B61889760}">
    <text>The doors from the first floor is symetrical with the ones on the first floor</text>
  </threadedComment>
  <threadedComment ref="AP24" dT="2021-12-21T07:34:09.15" personId="{E020EE70-52B7-4C3C-8D3D-999CD0DAA98A}" id="{40CF28C5-2B73-4A0B-BD20-0DE92F71E344}">
    <text>Denne antagelse bliver lavet, da det ikke er muligt at se en skorsten på huset, hverken før eller efter påsættelsen af den ekstra etage. Derfor antages en højde på 0.4 m, 
der er angivet af miljøministeriet. 
https://braendefyringsportalen.dk/borger/problemer-med-roeg/reglerne/krav-til-nye-skorstene/</text>
  </threadedComment>
  <threadedComment ref="BI24" dT="2021-12-20T12:00:36.73" personId="{A8A093DC-846E-4612-8306-18E90BD427A7}" id="{EA774C8D-80CE-4EFE-AD53-7CA5A59A4CA0}">
    <text>It is assumed that 2 pugging boards are left out in order to make the stairs</text>
  </threadedComment>
  <threadedComment ref="BI26" dT="2021-12-21T12:41:54.48" personId="{A8A093DC-846E-4612-8306-18E90BD427A7}" id="{61AF69E5-545A-4D06-9720-3B6783BF60F2}">
    <text>It is assumed based on the beam plans that the same divisision of pugging boards can be made</text>
  </threadedComment>
  <threadedComment ref="BM28" dT="2021-12-08T13:57:09.26" personId="{A8A093DC-846E-4612-8306-18E90BD427A7}" id="{2207AAC3-880B-45B3-9868-1355B1475DEB}">
    <text>Dank byggeskik page 109</text>
  </threadedComment>
  <threadedComment ref="BN28" dT="2021-12-20T12:05:30.01" personId="{E020EE70-52B7-4C3C-8D3D-999CD0DAA98A}" id="{2D295AA7-CCB6-4805-9DDB-0A13BA77644B}">
    <text xml:space="preserve">Dansk byggeskik
</text>
  </threadedComment>
  <threadedComment ref="BI29" dT="2021-12-08T13:57:41.20" personId="{A8A093DC-846E-4612-8306-18E90BD427A7}" id="{D987E988-5DA8-447A-A28F-F9D75385FC07}">
    <text>Dansk byggeskik page 109</text>
  </threadedComment>
  <threadedComment ref="K30" dT="2021-12-20T14:10:56.30" personId="{A8A093DC-846E-4612-8306-18E90BD427A7}" id="{35AF82DE-85B3-4879-AD53-6581174C1A76}">
    <text>The gable side is taken into account since there was a flat on the second floor</text>
  </threadedComment>
  <threadedComment ref="AU30" dT="2021-12-21T09:48:59.01" personId="{E020EE70-52B7-4C3C-8D3D-999CD0DAA98A}" id="{F688BAD3-CA23-40FE-B37B-1BE249C9E18D}">
    <text xml:space="preserve">17 trin er aflæst fra den gamle plantegning </text>
  </threadedComment>
  <threadedComment ref="AE31" dT="2021-12-20T08:36:35.31" personId="{A8A093DC-846E-4612-8306-18E90BD427A7}" id="{8962F4D0-537E-4C74-A90A-CAFE45D9DFDD}">
    <text>The thickness is provided by information form The Old City of Aarhus</text>
  </threadedComment>
  <threadedComment ref="BI31" dT="2021-12-08T13:33:50.16" personId="{A8A093DC-846E-4612-8306-18E90BD427A7}" id="{8EE3B7B2-AAB0-4037-B56E-E83173AF48B3}">
    <text>https://www.engineeringtoolbox.com/dirt-mud-densities-d_1727.html Wet clay</text>
  </threadedComment>
  <threadedComment ref="AU33" dT="2021-12-09T09:17:11.82" personId="{E020EE70-52B7-4C3C-8D3D-999CD0DAA98A}" id="{23926CDD-D92D-4D9A-8D7B-0BFA6EC468FC}">
    <text>Målet kommer fra den målte trappe på overgade 52</text>
  </threadedComment>
  <threadedComment ref="AH34" dT="2021-12-20T08:36:35.31" personId="{A8A093DC-846E-4612-8306-18E90BD427A7}" id="{8393A96D-6CCD-4A68-AE17-B6C7B2A78565}">
    <text>The thickness is provided by information form The Old City of Aarhus</text>
  </threadedComment>
  <threadedComment ref="AE36" dT="2021-12-21T08:45:23.49" personId="{A8A093DC-846E-4612-8306-18E90BD427A7}" id="{9DF35B15-07E2-4F22-9666-1C3CD9C51192}">
    <text>The floor height is kept constant. This will give an overestimation since the wall are sloping</text>
  </threadedComment>
  <threadedComment ref="AU36" dT="2021-12-09T09:14:38.98" personId="{E020EE70-52B7-4C3C-8D3D-999CD0DAA98A}" id="{BB93B1EF-9D6B-47AE-AB55-86A54E3FD789}">
    <text xml:space="preserve">Dette er mål i huset på overgade 52 og det antages at det er en standard </text>
  </threadedComment>
  <threadedComment ref="K37" dT="2021-12-20T08:36:35.31" personId="{A8A093DC-846E-4612-8306-18E90BD427A7}" id="{23CA0822-AC14-431D-A875-63067EB81228}">
    <text>The thickness is provided by information form The Old City of Aarhus</text>
  </threadedComment>
  <threadedComment ref="AH38" dT="2021-12-21T09:49:35.13" personId="{A8A093DC-846E-4612-8306-18E90BD427A7}" id="{0C9D14C6-8230-4D77-9EE6-0EF6130337E8}">
    <text>Spisekammer
It is assumed that the walls here are made of wood since they are so thin</text>
  </threadedComment>
  <threadedComment ref="AU38" dT="2021-12-09T09:19:35.90" personId="{E020EE70-52B7-4C3C-8D3D-999CD0DAA98A}" id="{6C9B9180-7F21-470A-B8D7-A9BA90D9F6F7}">
    <text>Målet kommer fra den målte trappe på overgade 52</text>
  </threadedComment>
  <threadedComment ref="AU41" dT="2021-12-21T09:41:36.32" personId="{E020EE70-52B7-4C3C-8D3D-999CD0DAA98A}" id="{C75B756B-823F-486A-8F57-3E55F61C281B}">
    <text>Det antages at sidestykket mellem trappen og væggen er 0.2 m, dette fås fra trappeberegningen fra 1860</text>
  </threadedComment>
  <threadedComment ref="BI42" dT="2021-12-17T08:51:12.89" personId="{A8A093DC-846E-4612-8306-18E90BD427A7}" id="{162EDE58-B5CD-4E5B-9BA1-A331DFE4DF03}">
    <text>It is assumed that they are placed with 1 meters distance</text>
  </threadedComment>
  <threadedComment ref="BM43" dT="2022-01-24T14:16:32.34" personId="{A8A093DC-846E-4612-8306-18E90BD427A7}" id="{EFABFA50-09FA-4440-AF53-2FEC3F3F9FCD}">
    <text>https://danskbyggeskik.dk/Publikationer/1100%20-%20Generalbeskrivelse.pdf
s.37</text>
  </threadedComment>
  <threadedComment ref="BI44" dT="2021-12-17T08:53:10.63" personId="{A8A093DC-846E-4612-8306-18E90BD427A7}" id="{7CE49CC2-F09E-4702-A5AD-E9748AFFADAC}">
    <text>https://www.engineeringtoolbox.com/metal-alloys-densities-d_50.html</text>
  </threadedComment>
  <threadedComment ref="T48" dT="2021-12-08T11:35:37.20" personId="{E020EE70-52B7-4C3C-8D3D-999CD0DAA98A}" id="{165E948F-B6BC-4C50-9C77-860FC8B6DEDC}">
    <text>https://www.bolius.dk/tag-med-naturskifer-19003</text>
  </threadedComment>
  <threadedComment ref="T49" dT="2021-11-18T13:22:38.57" personId="{E020EE70-52B7-4C3C-8D3D-999CD0DAA98A}" id="{1063F1F6-9CBE-44D7-9049-D4655B9BEE13}">
    <text xml:space="preserve">https://www.taginfo.dk/skifer-tagplader/
</text>
  </threadedComment>
  <threadedComment ref="AH53" dT="2021-12-21T09:59:28.18" personId="{A8A093DC-846E-4612-8306-18E90BD427A7}" id="{73DC8065-0BD0-4125-9324-7DAF7AEFCD97}">
    <text>It is assumed that the door is as high as the others in the floor</text>
  </threadedComment>
  <threadedComment ref="AU55" dT="2021-12-21T09:49:11.47" personId="{E020EE70-52B7-4C3C-8D3D-999CD0DAA98A}" id="{E161AF7A-8D83-4274-BD88-DD6A503B05EC}">
    <text xml:space="preserve">17 er aflæst fra den gamle plantegning </text>
  </threadedComment>
  <threadedComment ref="AU58" dT="2021-12-09T09:17:11.82" personId="{E020EE70-52B7-4C3C-8D3D-999CD0DAA98A}" id="{9C0360F4-196B-415E-BEAC-1548066A4D7E}">
    <text>Målet kommer fra den målte trappe på overgade 52</text>
  </threadedComment>
  <threadedComment ref="AU61" dT="2021-12-09T09:14:38.98" personId="{E020EE70-52B7-4C3C-8D3D-999CD0DAA98A}" id="{A357B791-F07F-4B9B-8959-DAC31D6C0B10}">
    <text xml:space="preserve">Dette er mål i huset på overgade 52 og det antages at det er en standard </text>
  </threadedComment>
  <threadedComment ref="AU63" dT="2021-12-09T09:19:35.90" personId="{E020EE70-52B7-4C3C-8D3D-999CD0DAA98A}" id="{A0CC3B89-CEEF-4820-A751-D8F6D6836851}">
    <text>Målet kommer fra den målte trappe på overgade 52</text>
  </threadedComment>
  <threadedComment ref="AU66" dT="2021-12-21T09:41:36.32" personId="{E020EE70-52B7-4C3C-8D3D-999CD0DAA98A}" id="{AD392E56-8FF9-4190-8A08-B58FC00E9997}">
    <text>Det antages at sidestykket mellem trappen og væggen er 0.2 m, dette fås fra trappeberegningen fra 1860</text>
  </threadedComment>
  <threadedComment ref="AH70" dT="2021-12-21T09:59:28.18" personId="{A8A093DC-846E-4612-8306-18E90BD427A7}" id="{4C60FE83-8EB2-4374-9D0D-D7D4D827FA7C}">
    <text>It is assumed that the door is as high as the others in the floor</text>
  </threadedComment>
  <threadedComment ref="AB73" dT="2021-12-20T08:36:35.31" personId="{A8A093DC-846E-4612-8306-18E90BD427A7}" id="{E7A6E776-0CE0-4691-837C-B43DF1B8D18A}">
    <text>The thickness is provided by information form The Old City of Aarhus</text>
  </threadedComment>
  <threadedComment ref="BA73" dT="2021-12-21T12:28:15.12" personId="{A8A093DC-846E-4612-8306-18E90BD427A7}" id="{BDE4CBB9-98DB-4793-BC7F-04BDC7C28B72}">
    <text>For now the red beams are seen as half beams</text>
  </threadedComment>
  <threadedComment ref="AH75" dT="2021-12-21T10:07:56.59" personId="{A8A093DC-846E-4612-8306-18E90BD427A7}" id="{72ADE25E-4901-43F2-B5FB-421BA9CE9B23}">
    <text>Kammer
Form the newer plans it is stated that the small room on the second floor has a wall of wood</text>
  </threadedComment>
  <threadedComment ref="AH81" dT="2021-12-21T10:11:59.39" personId="{A8A093DC-846E-4612-8306-18E90BD427A7}" id="{FC7A6195-D4ED-442D-B9AA-E827E6610D75}">
    <text>It is assumed that the door fits the other at the floor</text>
  </threadedComment>
  <threadedComment ref="AH89" dT="2022-01-24T14:16:32.34" personId="{A8A093DC-846E-4612-8306-18E90BD427A7}" id="{6788A9A3-B5B3-404E-8AE0-6CD3731C07C9}">
    <text>https://danskbyggeskik.dk/Publikationer/1100%20-%20Generalbeskrivelse.pdf
s.37</text>
  </threadedComment>
  <threadedComment ref="A136" dT="2022-01-11T12:17:03.56" personId="{A8A093DC-846E-4612-8306-18E90BD427A7}" id="{2C35BD6E-BEC5-45D0-824A-F5B1C12CD657}">
    <text>When combing the exterior and interior wall a 2X half stone wall is obtained</text>
  </threadedComment>
  <threadedComment ref="AC137" dT="2022-01-24T10:41:47.41" personId="{E020EE70-52B7-4C3C-8D3D-999CD0DAA98A}" id="{2DB6A77F-4612-426A-9CE1-84997A60D256}">
    <text xml:space="preserve">Kilde [42] side 42 
Hvor man i 1880’erne kun havde (koldt) vand i køkken, (udvendigt) afløb fra køkkenvask og måske gas indlagt til madlavning, voksede mængden af installationer i boligbyggeriet efter 1880’erne.  
Derfor antages det at der var blevet indlagt vand i 1890 i den gennemsnitlige bolig </text>
  </threadedComment>
  <threadedComment ref="AC139" dT="2022-01-24T10:42:57.24" personId="{E020EE70-52B7-4C3C-8D3D-999CD0DAA98A}" id="{401887EF-E865-4B32-B576-35605FCC99C5}">
    <text xml:space="preserve">DST årbog 1928 
sde 27 tabel 28 
</text>
  </threadedComment>
  <threadedComment ref="AC142" dT="2022-01-24T10:52:20.82" personId="{E020EE70-52B7-4C3C-8D3D-999CD0DAA98A}" id="{B57FA8D9-1E56-49C5-A029-2FAEF6BC3BA7}">
    <text>https://www.danva.dk/media/2668/vejledning-nr-60-plast_rapport_ver171.pdf</text>
  </threadedComment>
  <threadedComment ref="A145" dT="2021-12-17T08:21:05.36" personId="{A8A093DC-846E-4612-8306-18E90BD427A7}" id="{D4F91DC0-3384-461D-A8BC-EF6BCF1522C5}">
    <text>Disse tal skal laves om til enheden m3</text>
  </threadedComment>
  <threadedComment ref="N193" dT="2022-01-24T12:41:29.03" personId="{E020EE70-52B7-4C3C-8D3D-999CD0DAA98A}" id="{100A2641-5F44-4618-9210-264D7B4B1D61}">
    <text>https://otv.dk/vidensbank/plasttyper/pp-polypropylen/</text>
  </threadedComment>
  <threadedComment ref="A264" dT="2022-01-21T09:49:39.76" personId="{A8A093DC-846E-4612-8306-18E90BD427A7}" id="{A7C532CD-1DFB-40C6-B310-D09F04460046}">
    <text>https://www.dalmosebraende.dk/cms-massefylde-og-brandvaerdi-for-braende</text>
  </threadedComment>
</ThreadedComments>
</file>

<file path=xl/worksheets/_rels/sheet1.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1.xml"/><Relationship Id="rId4" Type="http://schemas.microsoft.com/office/2017/10/relationships/threadedComment" Target="../threadedComments/threadedComment2.xml"/></Relationships>
</file>

<file path=xl/worksheets/_rels/sheet3.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2.xml"/><Relationship Id="rId4" Type="http://schemas.microsoft.com/office/2017/10/relationships/threadedComment" Target="../threadedComments/threadedComment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 Id="rId4" Type="http://schemas.microsoft.com/office/2017/10/relationships/threadedComment" Target="../threadedComments/threadedComment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8A855B-B26F-4E68-BEA5-FAC7630AC6C4}">
  <sheetPr>
    <tabColor theme="9" tint="0.59999389629810485"/>
  </sheetPr>
  <dimension ref="A1:J57"/>
  <sheetViews>
    <sheetView tabSelected="1" zoomScale="130" zoomScaleNormal="130" workbookViewId="0">
      <selection activeCell="I2" sqref="I2"/>
    </sheetView>
  </sheetViews>
  <sheetFormatPr defaultColWidth="11.42578125" defaultRowHeight="15" x14ac:dyDescent="0.25"/>
  <cols>
    <col min="1" max="1" width="23" style="116" customWidth="1"/>
    <col min="2" max="3" width="11.42578125" style="116"/>
    <col min="4" max="4" width="22.7109375" style="116" customWidth="1"/>
    <col min="5" max="8" width="11.42578125" style="116"/>
    <col min="9" max="9" width="40" style="116" customWidth="1"/>
    <col min="10" max="16384" width="11.42578125" style="116"/>
  </cols>
  <sheetData>
    <row r="1" spans="1:10" x14ac:dyDescent="0.25">
      <c r="A1" s="115" t="s">
        <v>1473</v>
      </c>
      <c r="B1" s="115" t="s">
        <v>1474</v>
      </c>
      <c r="D1" s="115" t="s">
        <v>1475</v>
      </c>
      <c r="E1" s="115" t="s">
        <v>1476</v>
      </c>
      <c r="F1" s="115" t="s">
        <v>1477</v>
      </c>
      <c r="I1" s="117" t="s">
        <v>1505</v>
      </c>
      <c r="J1" s="118" t="s">
        <v>29</v>
      </c>
    </row>
    <row r="2" spans="1:10" x14ac:dyDescent="0.25">
      <c r="A2" s="119" t="s">
        <v>1478</v>
      </c>
      <c r="B2" s="120"/>
      <c r="D2" s="121" t="s">
        <v>1479</v>
      </c>
      <c r="E2" s="121">
        <v>156.5</v>
      </c>
      <c r="F2" s="121">
        <v>1.86</v>
      </c>
      <c r="I2" s="122" t="s">
        <v>36</v>
      </c>
      <c r="J2" s="123">
        <v>120</v>
      </c>
    </row>
    <row r="3" spans="1:10" x14ac:dyDescent="0.25">
      <c r="A3" s="121" t="s">
        <v>1480</v>
      </c>
      <c r="B3" s="121">
        <v>60</v>
      </c>
      <c r="D3" s="124" t="s">
        <v>1478</v>
      </c>
      <c r="E3" s="125"/>
      <c r="F3" s="118"/>
      <c r="I3" s="122" t="s">
        <v>41</v>
      </c>
      <c r="J3" s="123">
        <v>120</v>
      </c>
    </row>
    <row r="4" spans="1:10" x14ac:dyDescent="0.25">
      <c r="A4" s="121" t="s">
        <v>1481</v>
      </c>
      <c r="B4" s="121">
        <v>72</v>
      </c>
      <c r="D4" s="121" t="s">
        <v>1480</v>
      </c>
      <c r="E4" s="121">
        <v>-5.8</v>
      </c>
      <c r="F4" s="121">
        <v>0.75</v>
      </c>
      <c r="I4" s="122" t="s">
        <v>46</v>
      </c>
      <c r="J4" s="121">
        <v>120</v>
      </c>
    </row>
    <row r="5" spans="1:10" x14ac:dyDescent="0.25">
      <c r="A5" s="119" t="s">
        <v>1482</v>
      </c>
      <c r="B5" s="120"/>
      <c r="D5" s="121" t="s">
        <v>1481</v>
      </c>
      <c r="E5" s="121">
        <v>0</v>
      </c>
      <c r="F5" s="121"/>
      <c r="I5" s="122" t="s">
        <v>53</v>
      </c>
      <c r="J5" s="121">
        <v>80</v>
      </c>
    </row>
    <row r="6" spans="1:10" x14ac:dyDescent="0.25">
      <c r="A6" s="121" t="s">
        <v>1482</v>
      </c>
      <c r="B6" s="121">
        <v>74</v>
      </c>
      <c r="D6" s="119" t="s">
        <v>1482</v>
      </c>
      <c r="F6" s="120"/>
      <c r="I6" s="122" t="s">
        <v>56</v>
      </c>
      <c r="J6" s="121">
        <v>120</v>
      </c>
    </row>
    <row r="7" spans="1:10" x14ac:dyDescent="0.25">
      <c r="A7" s="121" t="s">
        <v>1483</v>
      </c>
      <c r="B7" s="121">
        <v>69</v>
      </c>
      <c r="D7" s="121" t="s">
        <v>1482</v>
      </c>
      <c r="E7" s="121">
        <v>5.4</v>
      </c>
      <c r="F7" s="121">
        <v>0.64</v>
      </c>
      <c r="I7" s="122" t="s">
        <v>58</v>
      </c>
      <c r="J7" s="121">
        <v>100</v>
      </c>
    </row>
    <row r="8" spans="1:10" x14ac:dyDescent="0.25">
      <c r="A8" s="119" t="s">
        <v>1484</v>
      </c>
      <c r="B8" s="120"/>
      <c r="D8" s="126" t="s">
        <v>1483</v>
      </c>
      <c r="E8" s="116">
        <v>0</v>
      </c>
      <c r="F8" s="120"/>
      <c r="I8" s="122" t="s">
        <v>60</v>
      </c>
      <c r="J8" s="121">
        <v>100</v>
      </c>
    </row>
    <row r="9" spans="1:10" x14ac:dyDescent="0.25">
      <c r="A9" s="121" t="s">
        <v>1485</v>
      </c>
      <c r="B9" s="121">
        <v>67</v>
      </c>
      <c r="D9" s="124" t="s">
        <v>1484</v>
      </c>
      <c r="E9" s="125"/>
      <c r="F9" s="118"/>
      <c r="I9" s="122" t="s">
        <v>63</v>
      </c>
      <c r="J9" s="121">
        <v>100</v>
      </c>
    </row>
    <row r="10" spans="1:10" x14ac:dyDescent="0.25">
      <c r="A10" s="121" t="s">
        <v>1486</v>
      </c>
      <c r="B10" s="121">
        <v>72</v>
      </c>
      <c r="D10" s="121" t="s">
        <v>1485</v>
      </c>
      <c r="E10" s="121">
        <v>-22.9</v>
      </c>
      <c r="F10" s="121">
        <v>1.18</v>
      </c>
      <c r="I10" s="122" t="s">
        <v>67</v>
      </c>
      <c r="J10" s="121">
        <v>120</v>
      </c>
    </row>
    <row r="11" spans="1:10" x14ac:dyDescent="0.25">
      <c r="A11" s="121" t="s">
        <v>1487</v>
      </c>
      <c r="B11" s="121">
        <v>103</v>
      </c>
      <c r="D11" s="121" t="s">
        <v>1486</v>
      </c>
      <c r="E11" s="121">
        <v>-22.3</v>
      </c>
      <c r="F11" s="121">
        <v>1.1100000000000001</v>
      </c>
      <c r="I11" s="122" t="s">
        <v>90</v>
      </c>
      <c r="J11" s="121">
        <v>120</v>
      </c>
    </row>
    <row r="12" spans="1:10" x14ac:dyDescent="0.25">
      <c r="A12" s="121" t="s">
        <v>1488</v>
      </c>
      <c r="B12" s="121">
        <v>51</v>
      </c>
      <c r="D12" s="121" t="s">
        <v>1487</v>
      </c>
      <c r="E12" s="121">
        <v>0</v>
      </c>
      <c r="F12" s="121"/>
      <c r="I12" s="122" t="s">
        <v>103</v>
      </c>
      <c r="J12" s="121">
        <v>120</v>
      </c>
    </row>
    <row r="13" spans="1:10" x14ac:dyDescent="0.25">
      <c r="A13" s="121" t="s">
        <v>1489</v>
      </c>
      <c r="B13" s="121">
        <v>44</v>
      </c>
      <c r="D13" s="121" t="s">
        <v>1488</v>
      </c>
      <c r="E13" s="121">
        <v>-35.1</v>
      </c>
      <c r="F13" s="121">
        <v>2.2999999999999998</v>
      </c>
      <c r="I13" s="122" t="s">
        <v>113</v>
      </c>
      <c r="J13" s="121">
        <v>50</v>
      </c>
    </row>
    <row r="14" spans="1:10" x14ac:dyDescent="0.25">
      <c r="A14" s="121" t="s">
        <v>1490</v>
      </c>
      <c r="B14" s="121">
        <v>48</v>
      </c>
      <c r="D14" s="121" t="s">
        <v>1489</v>
      </c>
      <c r="E14" s="121">
        <v>-43.5</v>
      </c>
      <c r="F14" s="121">
        <v>2.66</v>
      </c>
      <c r="I14" s="122" t="s">
        <v>126</v>
      </c>
      <c r="J14" s="121">
        <v>40</v>
      </c>
    </row>
    <row r="15" spans="1:10" x14ac:dyDescent="0.25">
      <c r="A15" s="119" t="s">
        <v>1491</v>
      </c>
      <c r="B15" s="120"/>
      <c r="D15" s="121" t="s">
        <v>1490</v>
      </c>
      <c r="E15" s="121">
        <v>-38.4</v>
      </c>
      <c r="F15" s="121">
        <v>1.55</v>
      </c>
      <c r="I15" s="121" t="s">
        <v>134</v>
      </c>
      <c r="J15" s="121">
        <v>60</v>
      </c>
    </row>
    <row r="16" spans="1:10" x14ac:dyDescent="0.25">
      <c r="A16" s="121" t="s">
        <v>556</v>
      </c>
      <c r="B16" s="121">
        <v>83</v>
      </c>
      <c r="D16" s="124" t="s">
        <v>1491</v>
      </c>
      <c r="E16" s="125"/>
      <c r="F16" s="118"/>
      <c r="I16" s="121" t="s">
        <v>146</v>
      </c>
      <c r="J16" s="121">
        <v>60</v>
      </c>
    </row>
    <row r="17" spans="1:10" x14ac:dyDescent="0.25">
      <c r="A17" s="121" t="s">
        <v>1492</v>
      </c>
      <c r="B17" s="121">
        <v>49</v>
      </c>
      <c r="D17" s="121" t="s">
        <v>556</v>
      </c>
      <c r="E17" s="121">
        <v>-52</v>
      </c>
      <c r="F17" s="121">
        <v>1.63</v>
      </c>
      <c r="I17" s="121" t="s">
        <v>157</v>
      </c>
      <c r="J17" s="121">
        <v>50</v>
      </c>
    </row>
    <row r="18" spans="1:10" x14ac:dyDescent="0.25">
      <c r="A18" s="121" t="s">
        <v>1493</v>
      </c>
      <c r="B18" s="121">
        <v>54</v>
      </c>
      <c r="D18" s="121" t="s">
        <v>1492</v>
      </c>
      <c r="E18" s="121">
        <v>-82.5</v>
      </c>
      <c r="F18" s="121">
        <v>1.69</v>
      </c>
      <c r="I18" s="121" t="s">
        <v>175</v>
      </c>
      <c r="J18" s="121">
        <v>60</v>
      </c>
    </row>
    <row r="19" spans="1:10" x14ac:dyDescent="0.25">
      <c r="A19" s="121" t="s">
        <v>46</v>
      </c>
      <c r="B19" s="121">
        <v>44</v>
      </c>
      <c r="D19" s="121" t="s">
        <v>1493</v>
      </c>
      <c r="E19" s="121">
        <v>-79.900000000000006</v>
      </c>
      <c r="F19" s="121">
        <v>1.8</v>
      </c>
      <c r="I19" s="121" t="s">
        <v>185</v>
      </c>
      <c r="J19" s="121">
        <v>50</v>
      </c>
    </row>
    <row r="20" spans="1:10" x14ac:dyDescent="0.25">
      <c r="A20" s="121" t="s">
        <v>1494</v>
      </c>
      <c r="B20" s="121">
        <v>31</v>
      </c>
      <c r="D20" s="121" t="s">
        <v>46</v>
      </c>
      <c r="E20" s="121">
        <v>-86.9</v>
      </c>
      <c r="F20" s="121">
        <v>2.69</v>
      </c>
      <c r="I20" s="121" t="s">
        <v>196</v>
      </c>
      <c r="J20" s="121">
        <v>50</v>
      </c>
    </row>
    <row r="21" spans="1:10" x14ac:dyDescent="0.25">
      <c r="A21" s="121" t="s">
        <v>1495</v>
      </c>
      <c r="B21" s="121">
        <v>51</v>
      </c>
      <c r="D21" s="121" t="s">
        <v>1494</v>
      </c>
      <c r="E21" s="121">
        <v>-102.5</v>
      </c>
      <c r="F21" s="121">
        <v>2.1800000000000002</v>
      </c>
      <c r="I21" s="121" t="s">
        <v>207</v>
      </c>
      <c r="J21" s="121">
        <v>40</v>
      </c>
    </row>
    <row r="22" spans="1:10" x14ac:dyDescent="0.25">
      <c r="A22" s="121" t="s">
        <v>1496</v>
      </c>
      <c r="B22" s="121">
        <v>138</v>
      </c>
      <c r="D22" s="121" t="s">
        <v>1495</v>
      </c>
      <c r="E22" s="121">
        <v>81</v>
      </c>
      <c r="F22" s="121">
        <v>2.19</v>
      </c>
      <c r="I22" s="121" t="s">
        <v>217</v>
      </c>
      <c r="J22" s="121">
        <v>100</v>
      </c>
    </row>
    <row r="23" spans="1:10" x14ac:dyDescent="0.25">
      <c r="A23" s="121" t="s">
        <v>1497</v>
      </c>
      <c r="B23" s="121">
        <v>61</v>
      </c>
      <c r="D23" s="121" t="s">
        <v>1496</v>
      </c>
      <c r="E23" s="121">
        <v>0</v>
      </c>
      <c r="F23" s="121">
        <v>0</v>
      </c>
      <c r="I23" s="121" t="s">
        <v>229</v>
      </c>
      <c r="J23" s="121">
        <v>80</v>
      </c>
    </row>
    <row r="24" spans="1:10" x14ac:dyDescent="0.25">
      <c r="D24" s="121" t="s">
        <v>1497</v>
      </c>
      <c r="E24" s="121">
        <v>-72.3</v>
      </c>
      <c r="F24" s="121">
        <v>1.78</v>
      </c>
      <c r="I24" s="121" t="s">
        <v>237</v>
      </c>
      <c r="J24" s="121">
        <v>80</v>
      </c>
    </row>
    <row r="25" spans="1:10" x14ac:dyDescent="0.25">
      <c r="I25" s="121" t="s">
        <v>247</v>
      </c>
      <c r="J25" s="121">
        <v>60</v>
      </c>
    </row>
    <row r="26" spans="1:10" x14ac:dyDescent="0.25">
      <c r="D26" s="127"/>
      <c r="I26" s="121" t="s">
        <v>253</v>
      </c>
      <c r="J26" s="121">
        <v>60</v>
      </c>
    </row>
    <row r="27" spans="1:10" x14ac:dyDescent="0.25">
      <c r="A27" s="115" t="s">
        <v>1498</v>
      </c>
      <c r="B27" s="115" t="s">
        <v>28</v>
      </c>
      <c r="C27" s="115" t="s">
        <v>1499</v>
      </c>
      <c r="D27" s="115" t="s">
        <v>29</v>
      </c>
      <c r="E27" s="115" t="s">
        <v>1504</v>
      </c>
      <c r="F27" s="116" t="s">
        <v>1498</v>
      </c>
      <c r="I27" s="121" t="s">
        <v>264</v>
      </c>
      <c r="J27" s="121">
        <v>60</v>
      </c>
    </row>
    <row r="28" spans="1:10" x14ac:dyDescent="0.25">
      <c r="A28" s="121">
        <v>1860</v>
      </c>
      <c r="B28" s="121">
        <v>66.7</v>
      </c>
      <c r="C28" s="121">
        <v>1.365</v>
      </c>
      <c r="D28" s="121">
        <v>225</v>
      </c>
      <c r="E28" s="121">
        <v>-158.30000000000001</v>
      </c>
      <c r="F28" s="116">
        <v>1926.7</v>
      </c>
      <c r="I28" s="121" t="s">
        <v>275</v>
      </c>
      <c r="J28" s="121">
        <v>50</v>
      </c>
    </row>
    <row r="29" spans="1:10" x14ac:dyDescent="0.25">
      <c r="A29" s="121">
        <v>1890</v>
      </c>
      <c r="B29" s="121">
        <v>87</v>
      </c>
      <c r="C29" s="121">
        <v>1.3274999999999999</v>
      </c>
      <c r="D29" s="121">
        <v>182</v>
      </c>
      <c r="E29" s="121">
        <v>-95</v>
      </c>
      <c r="F29" s="116">
        <v>1977</v>
      </c>
      <c r="I29" s="121" t="s">
        <v>282</v>
      </c>
      <c r="J29" s="121">
        <v>30</v>
      </c>
    </row>
    <row r="30" spans="1:10" x14ac:dyDescent="0.25">
      <c r="A30" s="121">
        <v>1920</v>
      </c>
      <c r="B30" s="121">
        <v>87</v>
      </c>
      <c r="C30" s="121">
        <v>1.3274999999999999</v>
      </c>
      <c r="D30" s="121">
        <v>175</v>
      </c>
      <c r="E30" s="121">
        <v>-88</v>
      </c>
      <c r="F30" s="116">
        <v>2007</v>
      </c>
      <c r="I30" s="121" t="s">
        <v>293</v>
      </c>
      <c r="J30" s="121">
        <v>50</v>
      </c>
    </row>
    <row r="31" spans="1:10" x14ac:dyDescent="0.25">
      <c r="A31" s="116">
        <v>1965</v>
      </c>
      <c r="B31" s="116">
        <v>87</v>
      </c>
      <c r="D31" s="116">
        <v>57</v>
      </c>
      <c r="E31" s="116">
        <v>30</v>
      </c>
      <c r="F31" s="116">
        <v>2052</v>
      </c>
      <c r="I31" s="121" t="s">
        <v>300</v>
      </c>
      <c r="J31" s="121">
        <v>100</v>
      </c>
    </row>
    <row r="32" spans="1:10" x14ac:dyDescent="0.25">
      <c r="A32" s="116">
        <v>1967</v>
      </c>
      <c r="B32" s="116">
        <v>87</v>
      </c>
      <c r="D32" s="116">
        <v>55</v>
      </c>
      <c r="E32" s="116">
        <v>32</v>
      </c>
      <c r="F32" s="116">
        <v>2054</v>
      </c>
      <c r="I32" s="121" t="s">
        <v>310</v>
      </c>
      <c r="J32" s="121">
        <v>120</v>
      </c>
    </row>
    <row r="33" spans="1:10" x14ac:dyDescent="0.25">
      <c r="A33" s="116">
        <v>1973</v>
      </c>
      <c r="B33" s="116">
        <v>87</v>
      </c>
      <c r="D33" s="116">
        <v>49</v>
      </c>
      <c r="E33" s="116">
        <v>38</v>
      </c>
      <c r="F33" s="116">
        <v>2060</v>
      </c>
      <c r="I33" s="121" t="s">
        <v>321</v>
      </c>
      <c r="J33" s="121">
        <v>80</v>
      </c>
    </row>
    <row r="34" spans="1:10" x14ac:dyDescent="0.25">
      <c r="I34" s="121" t="s">
        <v>329</v>
      </c>
      <c r="J34" s="121">
        <v>80</v>
      </c>
    </row>
    <row r="35" spans="1:10" x14ac:dyDescent="0.25">
      <c r="A35" s="116" t="s">
        <v>1503</v>
      </c>
      <c r="I35" s="121" t="s">
        <v>339</v>
      </c>
      <c r="J35" s="121">
        <v>50</v>
      </c>
    </row>
    <row r="36" spans="1:10" x14ac:dyDescent="0.25">
      <c r="A36" s="116">
        <v>1795</v>
      </c>
      <c r="B36" s="116">
        <v>66.7</v>
      </c>
      <c r="C36" s="116">
        <v>1861.7</v>
      </c>
      <c r="I36" s="121" t="s">
        <v>346</v>
      </c>
      <c r="J36" s="121">
        <v>50</v>
      </c>
    </row>
    <row r="37" spans="1:10" x14ac:dyDescent="0.25">
      <c r="A37" s="116">
        <v>1840</v>
      </c>
      <c r="B37" s="116">
        <v>87</v>
      </c>
      <c r="C37" s="116">
        <v>1927</v>
      </c>
      <c r="I37" s="121" t="s">
        <v>355</v>
      </c>
      <c r="J37" s="121">
        <v>80</v>
      </c>
    </row>
    <row r="38" spans="1:10" x14ac:dyDescent="0.25">
      <c r="A38" s="116">
        <v>1855</v>
      </c>
      <c r="B38" s="116">
        <v>87</v>
      </c>
      <c r="C38" s="116">
        <v>1942</v>
      </c>
      <c r="I38" s="121" t="s">
        <v>362</v>
      </c>
      <c r="J38" s="121">
        <v>50</v>
      </c>
    </row>
    <row r="39" spans="1:10" x14ac:dyDescent="0.25">
      <c r="A39" s="116" t="s">
        <v>1502</v>
      </c>
      <c r="D39" s="116" t="s">
        <v>1500</v>
      </c>
      <c r="I39" s="121" t="s">
        <v>370</v>
      </c>
      <c r="J39" s="121">
        <v>80</v>
      </c>
    </row>
    <row r="40" spans="1:10" x14ac:dyDescent="0.25">
      <c r="A40" s="116">
        <v>1830</v>
      </c>
      <c r="B40" s="116">
        <v>66.7</v>
      </c>
      <c r="C40" s="116">
        <v>1896.7</v>
      </c>
      <c r="D40" s="116">
        <v>1955</v>
      </c>
      <c r="I40" s="121" t="s">
        <v>378</v>
      </c>
      <c r="J40" s="121">
        <v>60</v>
      </c>
    </row>
    <row r="41" spans="1:10" x14ac:dyDescent="0.25">
      <c r="A41" s="116">
        <v>1882</v>
      </c>
      <c r="B41" s="116">
        <v>87</v>
      </c>
      <c r="C41" s="116">
        <v>1969</v>
      </c>
      <c r="D41" s="116">
        <v>2007</v>
      </c>
      <c r="I41" s="121" t="s">
        <v>386</v>
      </c>
      <c r="J41" s="121">
        <v>40</v>
      </c>
    </row>
    <row r="42" spans="1:10" x14ac:dyDescent="0.25">
      <c r="A42" s="116">
        <v>1902</v>
      </c>
      <c r="B42" s="116">
        <v>87</v>
      </c>
      <c r="C42" s="116">
        <v>1989</v>
      </c>
      <c r="D42" s="116">
        <v>2008</v>
      </c>
      <c r="I42" s="121" t="s">
        <v>392</v>
      </c>
      <c r="J42" s="121">
        <v>60</v>
      </c>
    </row>
    <row r="43" spans="1:10" x14ac:dyDescent="0.25">
      <c r="I43" s="121" t="s">
        <v>398</v>
      </c>
      <c r="J43" s="121">
        <v>80</v>
      </c>
    </row>
    <row r="44" spans="1:10" x14ac:dyDescent="0.25">
      <c r="I44" s="121" t="s">
        <v>412</v>
      </c>
      <c r="J44" s="121">
        <v>80</v>
      </c>
    </row>
    <row r="45" spans="1:10" x14ac:dyDescent="0.25">
      <c r="I45" s="121" t="s">
        <v>419</v>
      </c>
      <c r="J45" s="121">
        <v>50</v>
      </c>
    </row>
    <row r="46" spans="1:10" x14ac:dyDescent="0.25">
      <c r="I46" s="121" t="s">
        <v>429</v>
      </c>
      <c r="J46" s="121">
        <v>50</v>
      </c>
    </row>
    <row r="47" spans="1:10" x14ac:dyDescent="0.25">
      <c r="I47" s="121" t="s">
        <v>434</v>
      </c>
      <c r="J47" s="121">
        <v>25</v>
      </c>
    </row>
    <row r="48" spans="1:10" x14ac:dyDescent="0.25">
      <c r="I48" s="121" t="s">
        <v>439</v>
      </c>
      <c r="J48" s="121">
        <v>60</v>
      </c>
    </row>
    <row r="49" spans="9:10" x14ac:dyDescent="0.25">
      <c r="I49" s="121" t="s">
        <v>446</v>
      </c>
      <c r="J49" s="121">
        <v>30</v>
      </c>
    </row>
    <row r="50" spans="9:10" x14ac:dyDescent="0.25">
      <c r="I50" s="121" t="s">
        <v>451</v>
      </c>
      <c r="J50" s="121">
        <v>60</v>
      </c>
    </row>
    <row r="51" spans="9:10" x14ac:dyDescent="0.25">
      <c r="I51" s="121" t="s">
        <v>458</v>
      </c>
      <c r="J51" s="121">
        <v>40</v>
      </c>
    </row>
    <row r="52" spans="9:10" x14ac:dyDescent="0.25">
      <c r="I52" s="121" t="s">
        <v>462</v>
      </c>
      <c r="J52" s="121">
        <v>30</v>
      </c>
    </row>
    <row r="53" spans="9:10" x14ac:dyDescent="0.25">
      <c r="I53" s="121" t="s">
        <v>470</v>
      </c>
      <c r="J53" s="121">
        <v>60</v>
      </c>
    </row>
    <row r="54" spans="9:10" x14ac:dyDescent="0.25">
      <c r="I54" s="121" t="s">
        <v>474</v>
      </c>
      <c r="J54" s="121">
        <v>60</v>
      </c>
    </row>
    <row r="55" spans="9:10" x14ac:dyDescent="0.25">
      <c r="I55" s="121" t="s">
        <v>1501</v>
      </c>
      <c r="J55" s="121">
        <v>60</v>
      </c>
    </row>
    <row r="56" spans="9:10" x14ac:dyDescent="0.25">
      <c r="I56" s="121" t="s">
        <v>485</v>
      </c>
      <c r="J56" s="121">
        <v>80</v>
      </c>
    </row>
    <row r="57" spans="9:10" x14ac:dyDescent="0.25">
      <c r="I57" s="121" t="s">
        <v>488</v>
      </c>
      <c r="J57" s="121">
        <v>15</v>
      </c>
    </row>
  </sheetData>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12619C-4F20-4653-A87D-6D8A12402E32}">
  <sheetPr>
    <tabColor theme="9" tint="0.59999389629810485"/>
  </sheetPr>
  <dimension ref="A1:BK158"/>
  <sheetViews>
    <sheetView zoomScale="10" zoomScaleNormal="10" workbookViewId="0">
      <selection activeCell="A9" sqref="A9"/>
    </sheetView>
  </sheetViews>
  <sheetFormatPr defaultColWidth="11.42578125" defaultRowHeight="15" x14ac:dyDescent="0.25"/>
  <cols>
    <col min="1" max="1" width="17.42578125" customWidth="1"/>
    <col min="2" max="2" width="14.7109375" bestFit="1" customWidth="1"/>
    <col min="3" max="3" width="14.42578125" bestFit="1" customWidth="1"/>
    <col min="4" max="4" width="13.7109375" bestFit="1" customWidth="1"/>
    <col min="5" max="5" width="25.42578125" bestFit="1" customWidth="1"/>
    <col min="6" max="6" width="13.7109375" bestFit="1" customWidth="1"/>
    <col min="7" max="7" width="17.7109375" customWidth="1"/>
    <col min="8" max="8" width="56.7109375" bestFit="1" customWidth="1"/>
    <col min="9" max="9" width="22.28515625" bestFit="1" customWidth="1"/>
    <col min="10" max="10" width="18.7109375" bestFit="1" customWidth="1"/>
    <col min="11" max="11" width="17.7109375" bestFit="1" customWidth="1"/>
    <col min="12" max="12" width="12.7109375" bestFit="1" customWidth="1"/>
    <col min="15" max="15" width="15.7109375" bestFit="1" customWidth="1"/>
    <col min="16" max="16" width="13.7109375" bestFit="1" customWidth="1"/>
    <col min="17" max="17" width="16.7109375" customWidth="1"/>
    <col min="20" max="20" width="19.7109375" customWidth="1"/>
    <col min="21" max="21" width="28.28515625" bestFit="1" customWidth="1"/>
    <col min="25" max="25" width="30" bestFit="1" customWidth="1"/>
    <col min="26" max="26" width="13.7109375" bestFit="1" customWidth="1"/>
    <col min="27" max="27" width="14" customWidth="1"/>
    <col min="29" max="29" width="37.140625" bestFit="1" customWidth="1"/>
    <col min="36" max="36" width="25.7109375" customWidth="1"/>
    <col min="39" max="39" width="18.7109375" customWidth="1"/>
    <col min="43" max="43" width="27.7109375" bestFit="1" customWidth="1"/>
    <col min="47" max="47" width="24" bestFit="1" customWidth="1"/>
    <col min="51" max="51" width="24.28515625" bestFit="1" customWidth="1"/>
    <col min="56" max="56" width="44.7109375" bestFit="1" customWidth="1"/>
    <col min="59" max="59" width="15.7109375" bestFit="1" customWidth="1"/>
    <col min="60" max="60" width="14.7109375" bestFit="1" customWidth="1"/>
    <col min="61" max="61" width="16" customWidth="1"/>
  </cols>
  <sheetData>
    <row r="1" spans="1:63" ht="18.75" x14ac:dyDescent="0.3">
      <c r="A1" s="1" t="s">
        <v>1</v>
      </c>
      <c r="B1" s="2"/>
      <c r="E1" s="3" t="s">
        <v>2</v>
      </c>
      <c r="F1" s="4"/>
      <c r="G1" s="2"/>
      <c r="I1" s="3" t="s">
        <v>3</v>
      </c>
      <c r="J1" s="4"/>
      <c r="K1" s="4"/>
      <c r="L1" s="4"/>
      <c r="M1" s="2"/>
    </row>
    <row r="2" spans="1:63" x14ac:dyDescent="0.25">
      <c r="A2" s="5" t="s">
        <v>4</v>
      </c>
      <c r="B2" s="5" t="s">
        <v>5</v>
      </c>
      <c r="E2" s="6" t="s">
        <v>6</v>
      </c>
      <c r="F2" s="4"/>
      <c r="G2" s="2"/>
      <c r="I2" s="7" t="s">
        <v>7</v>
      </c>
      <c r="J2" s="7">
        <v>17</v>
      </c>
      <c r="K2" s="7"/>
      <c r="L2" s="7"/>
      <c r="M2" s="7" t="s">
        <v>8</v>
      </c>
      <c r="BI2" t="s">
        <v>9</v>
      </c>
      <c r="BJ2">
        <f>B4</f>
        <v>1830</v>
      </c>
    </row>
    <row r="3" spans="1:63" x14ac:dyDescent="0.25">
      <c r="A3" s="5" t="s">
        <v>10</v>
      </c>
      <c r="B3" s="5" t="s">
        <v>11</v>
      </c>
      <c r="E3" s="5" t="s">
        <v>12</v>
      </c>
      <c r="F3" s="5">
        <v>22.8</v>
      </c>
      <c r="G3" s="5" t="s">
        <v>8</v>
      </c>
      <c r="I3" s="5" t="s">
        <v>13</v>
      </c>
      <c r="J3" s="5">
        <v>17</v>
      </c>
      <c r="K3" s="5"/>
      <c r="L3" s="5"/>
      <c r="M3" s="5" t="s">
        <v>8</v>
      </c>
      <c r="BJ3">
        <v>1955</v>
      </c>
    </row>
    <row r="4" spans="1:63" x14ac:dyDescent="0.25">
      <c r="A4" s="5" t="s">
        <v>9</v>
      </c>
      <c r="B4" s="5">
        <v>1830</v>
      </c>
      <c r="E4" s="5" t="s">
        <v>14</v>
      </c>
      <c r="F4" s="8">
        <v>10.8</v>
      </c>
      <c r="G4" s="5" t="s">
        <v>8</v>
      </c>
      <c r="BI4" t="s">
        <v>15</v>
      </c>
      <c r="BJ4">
        <f>BJ3-BJ2</f>
        <v>125</v>
      </c>
      <c r="BK4" t="s">
        <v>16</v>
      </c>
    </row>
    <row r="5" spans="1:63" x14ac:dyDescent="0.25">
      <c r="A5" s="5" t="s">
        <v>17</v>
      </c>
      <c r="B5" s="5">
        <v>1924</v>
      </c>
      <c r="E5" s="9" t="s">
        <v>13</v>
      </c>
      <c r="F5" s="9">
        <v>5.4</v>
      </c>
      <c r="G5" s="9" t="s">
        <v>8</v>
      </c>
      <c r="BI5" t="s">
        <v>18</v>
      </c>
      <c r="BJ5" s="10" t="s">
        <v>19</v>
      </c>
    </row>
    <row r="6" spans="1:63" x14ac:dyDescent="0.25">
      <c r="E6" s="5" t="s">
        <v>20</v>
      </c>
      <c r="F6" s="5">
        <f>(F5*F4*F3)*10^-6</f>
        <v>1.329696E-3</v>
      </c>
      <c r="G6" s="5" t="s">
        <v>21</v>
      </c>
      <c r="I6" s="9" t="s">
        <v>22</v>
      </c>
      <c r="J6" s="9">
        <v>0.04</v>
      </c>
      <c r="K6" s="9" t="s">
        <v>23</v>
      </c>
      <c r="BI6" t="s">
        <v>24</v>
      </c>
      <c r="BJ6">
        <v>1890</v>
      </c>
    </row>
    <row r="7" spans="1:63" ht="18.75" x14ac:dyDescent="0.3">
      <c r="A7" s="1" t="s">
        <v>25</v>
      </c>
      <c r="B7" s="4"/>
      <c r="C7" s="2"/>
      <c r="E7" s="7" t="s">
        <v>26</v>
      </c>
      <c r="F7" s="7">
        <v>1</v>
      </c>
      <c r="G7" s="7" t="s">
        <v>8</v>
      </c>
      <c r="I7" s="5" t="s">
        <v>27</v>
      </c>
      <c r="J7" s="5">
        <v>4.0000000000000001E-3</v>
      </c>
      <c r="K7" s="5" t="s">
        <v>23</v>
      </c>
      <c r="BD7" s="11" t="s">
        <v>28</v>
      </c>
      <c r="BE7" s="2" t="s">
        <v>29</v>
      </c>
      <c r="BI7" t="s">
        <v>15</v>
      </c>
      <c r="BJ7">
        <f>BJ3-BJ6</f>
        <v>65</v>
      </c>
      <c r="BK7" t="s">
        <v>30</v>
      </c>
    </row>
    <row r="8" spans="1:63" x14ac:dyDescent="0.25">
      <c r="A8" s="5" t="s">
        <v>31</v>
      </c>
      <c r="B8" s="5">
        <v>12.5</v>
      </c>
      <c r="C8" s="5" t="s">
        <v>8</v>
      </c>
      <c r="E8" s="5" t="s">
        <v>32</v>
      </c>
      <c r="F8" s="5">
        <f>((F3*10^-2)*(F5*10^-2))</f>
        <v>1.2312000000000002E-2</v>
      </c>
      <c r="G8" s="5" t="s">
        <v>33</v>
      </c>
      <c r="I8" t="s">
        <v>34</v>
      </c>
      <c r="J8">
        <f>((2.4+2.8)/2)*10^3</f>
        <v>2599.9999999999995</v>
      </c>
      <c r="K8" t="s">
        <v>35</v>
      </c>
      <c r="BD8" s="12" t="s">
        <v>36</v>
      </c>
      <c r="BE8" s="13">
        <v>120</v>
      </c>
      <c r="BI8" t="s">
        <v>37</v>
      </c>
      <c r="BJ8">
        <v>1920</v>
      </c>
    </row>
    <row r="9" spans="1:63" x14ac:dyDescent="0.25">
      <c r="A9" s="5" t="s">
        <v>38</v>
      </c>
      <c r="B9" s="5">
        <v>11.9</v>
      </c>
      <c r="C9" s="5" t="s">
        <v>8</v>
      </c>
      <c r="E9" s="5" t="s">
        <v>39</v>
      </c>
      <c r="F9" s="5">
        <f>((F3+F7)*10^-2)*((F5+F7)*10^-2)</f>
        <v>1.5232000000000001E-2</v>
      </c>
      <c r="G9" s="5" t="s">
        <v>33</v>
      </c>
      <c r="I9" t="s">
        <v>40</v>
      </c>
      <c r="J9">
        <f>2*10^-2</f>
        <v>0.02</v>
      </c>
      <c r="K9" t="s">
        <v>23</v>
      </c>
      <c r="BD9" s="12" t="s">
        <v>41</v>
      </c>
      <c r="BE9" s="13">
        <v>120</v>
      </c>
      <c r="BI9" t="s">
        <v>42</v>
      </c>
      <c r="BJ9">
        <f>BJ3-BJ8</f>
        <v>35</v>
      </c>
      <c r="BK9" t="s">
        <v>30</v>
      </c>
    </row>
    <row r="10" spans="1:63" x14ac:dyDescent="0.25">
      <c r="A10" s="5" t="s">
        <v>43</v>
      </c>
      <c r="B10" s="5">
        <v>5</v>
      </c>
      <c r="C10" s="5" t="s">
        <v>23</v>
      </c>
      <c r="E10" s="5" t="s">
        <v>44</v>
      </c>
      <c r="F10" s="5">
        <f>F8/F9</f>
        <v>0.80829831932773122</v>
      </c>
      <c r="G10" s="5" t="s">
        <v>45</v>
      </c>
      <c r="BD10" s="12" t="s">
        <v>46</v>
      </c>
      <c r="BE10" s="5">
        <v>120</v>
      </c>
      <c r="BI10" t="s">
        <v>47</v>
      </c>
      <c r="BJ10">
        <v>1960</v>
      </c>
    </row>
    <row r="11" spans="1:63" x14ac:dyDescent="0.25">
      <c r="A11" t="s">
        <v>48</v>
      </c>
      <c r="B11">
        <v>7.8</v>
      </c>
      <c r="C11" t="s">
        <v>8</v>
      </c>
      <c r="E11" s="5" t="s">
        <v>49</v>
      </c>
      <c r="F11" s="5">
        <f>2.5</f>
        <v>2.5</v>
      </c>
      <c r="G11" s="5" t="s">
        <v>50</v>
      </c>
      <c r="I11" t="s">
        <v>51</v>
      </c>
      <c r="J11">
        <v>35</v>
      </c>
      <c r="K11" t="s">
        <v>52</v>
      </c>
      <c r="BD11" s="12" t="s">
        <v>53</v>
      </c>
      <c r="BE11" s="5">
        <v>80</v>
      </c>
      <c r="BI11" t="s">
        <v>15</v>
      </c>
      <c r="BJ11">
        <f>BJ3-BJ10</f>
        <v>-5</v>
      </c>
      <c r="BK11" t="s">
        <v>30</v>
      </c>
    </row>
    <row r="12" spans="1:63" x14ac:dyDescent="0.25">
      <c r="A12" s="14" t="s">
        <v>54</v>
      </c>
      <c r="B12" s="14">
        <f>(B10*B8)/B11</f>
        <v>8.0128205128205128</v>
      </c>
      <c r="C12" s="14" t="s">
        <v>23</v>
      </c>
      <c r="E12" s="5" t="s">
        <v>55</v>
      </c>
      <c r="F12" s="5">
        <v>1700</v>
      </c>
      <c r="G12" s="5" t="s">
        <v>35</v>
      </c>
      <c r="BD12" s="12" t="s">
        <v>56</v>
      </c>
      <c r="BE12" s="5">
        <v>120</v>
      </c>
      <c r="BI12" t="s">
        <v>57</v>
      </c>
      <c r="BJ12">
        <v>1930</v>
      </c>
    </row>
    <row r="13" spans="1:63" x14ac:dyDescent="0.25">
      <c r="A13" s="14" t="s">
        <v>7</v>
      </c>
      <c r="B13" s="14">
        <f>(B10*B9)/B11</f>
        <v>7.6282051282051286</v>
      </c>
      <c r="C13" s="14" t="s">
        <v>23</v>
      </c>
      <c r="BD13" s="15" t="s">
        <v>58</v>
      </c>
      <c r="BE13" s="16">
        <v>100</v>
      </c>
      <c r="BF13">
        <f>$BJ$4/BE13</f>
        <v>1.25</v>
      </c>
      <c r="BG13">
        <v>1</v>
      </c>
      <c r="BI13" t="s">
        <v>15</v>
      </c>
      <c r="BJ13">
        <f>BJ3-BJ12</f>
        <v>25</v>
      </c>
      <c r="BK13" t="s">
        <v>30</v>
      </c>
    </row>
    <row r="14" spans="1:63" x14ac:dyDescent="0.25">
      <c r="A14" s="5" t="s">
        <v>59</v>
      </c>
      <c r="B14" s="5">
        <f>(B10*15.9)/10.6</f>
        <v>7.5</v>
      </c>
      <c r="C14" s="5"/>
      <c r="J14">
        <v>1622</v>
      </c>
      <c r="BD14" s="15" t="s">
        <v>60</v>
      </c>
      <c r="BE14" s="16">
        <v>100</v>
      </c>
      <c r="BF14">
        <f>$BJ$4/BE14</f>
        <v>1.25</v>
      </c>
      <c r="BG14">
        <v>1</v>
      </c>
    </row>
    <row r="15" spans="1:63" x14ac:dyDescent="0.25">
      <c r="A15" s="5" t="s">
        <v>61</v>
      </c>
      <c r="B15" s="5">
        <f>B12*B13</f>
        <v>61.123438527284684</v>
      </c>
      <c r="C15" s="5"/>
      <c r="J15" t="s">
        <v>62</v>
      </c>
      <c r="AT15" s="17"/>
      <c r="BD15" s="12" t="s">
        <v>63</v>
      </c>
      <c r="BE15" s="18">
        <v>100</v>
      </c>
    </row>
    <row r="16" spans="1:63" x14ac:dyDescent="0.25">
      <c r="A16" s="19"/>
      <c r="B16" s="19"/>
      <c r="C16" s="19"/>
      <c r="AQ16" s="14" t="s">
        <v>64</v>
      </c>
      <c r="AR16" s="5"/>
      <c r="AS16" s="5"/>
      <c r="AU16" s="20" t="s">
        <v>65</v>
      </c>
      <c r="AV16" s="9"/>
      <c r="AW16" s="9"/>
      <c r="AY16" s="21" t="s">
        <v>66</v>
      </c>
      <c r="AZ16" s="5"/>
      <c r="BA16" s="5"/>
      <c r="BD16" s="22" t="s">
        <v>67</v>
      </c>
      <c r="BE16" s="23">
        <v>120</v>
      </c>
      <c r="BF16" s="24">
        <f>$BJ$4/BE16</f>
        <v>1.0416666666666667</v>
      </c>
    </row>
    <row r="17" spans="1:59" x14ac:dyDescent="0.25">
      <c r="A17" s="25" t="s">
        <v>68</v>
      </c>
      <c r="B17" s="19"/>
      <c r="C17" s="26"/>
      <c r="E17" s="21" t="s">
        <v>69</v>
      </c>
      <c r="F17" s="4"/>
      <c r="G17" s="4"/>
      <c r="H17" s="4"/>
      <c r="I17" s="4"/>
      <c r="J17" s="4"/>
      <c r="K17" s="4"/>
      <c r="L17" s="4"/>
      <c r="M17" s="4"/>
      <c r="N17" s="4"/>
      <c r="O17" s="4"/>
      <c r="P17" s="4"/>
      <c r="Q17" s="4"/>
      <c r="R17" s="4"/>
      <c r="S17" s="2"/>
      <c r="U17" s="14" t="s">
        <v>70</v>
      </c>
      <c r="V17" s="5"/>
      <c r="W17" s="9"/>
      <c r="Y17" s="20" t="s">
        <v>71</v>
      </c>
      <c r="Z17" s="9"/>
      <c r="AA17" s="9"/>
      <c r="AC17" s="14" t="s">
        <v>72</v>
      </c>
      <c r="AD17" s="5"/>
      <c r="AE17" s="5"/>
      <c r="AG17" s="21" t="s">
        <v>73</v>
      </c>
      <c r="AH17" s="4"/>
      <c r="AI17" s="4"/>
      <c r="AJ17" s="4"/>
      <c r="AK17" s="4"/>
      <c r="AL17" s="2"/>
      <c r="AQ17" s="9" t="s">
        <v>74</v>
      </c>
      <c r="AR17" s="9">
        <f>0.25</f>
        <v>0.25</v>
      </c>
      <c r="AS17" s="9" t="s">
        <v>23</v>
      </c>
      <c r="AU17" s="27" t="s">
        <v>75</v>
      </c>
      <c r="AV17" s="5"/>
      <c r="AW17" s="5"/>
      <c r="AY17" s="6" t="s">
        <v>76</v>
      </c>
      <c r="AZ17" s="5"/>
      <c r="BA17" s="5"/>
      <c r="BD17" s="5" t="s">
        <v>77</v>
      </c>
      <c r="BE17" s="5">
        <v>85</v>
      </c>
      <c r="BF17" s="24">
        <f>$BJ$4/BE17</f>
        <v>1.4705882352941178</v>
      </c>
      <c r="BG17">
        <v>1</v>
      </c>
    </row>
    <row r="18" spans="1:59" x14ac:dyDescent="0.25">
      <c r="A18" s="28" t="s">
        <v>78</v>
      </c>
      <c r="B18" s="19"/>
      <c r="C18" s="26"/>
      <c r="E18" s="9" t="s">
        <v>43</v>
      </c>
      <c r="F18" s="5">
        <v>5</v>
      </c>
      <c r="G18" s="11" t="s">
        <v>23</v>
      </c>
      <c r="H18" s="28" t="s">
        <v>79</v>
      </c>
      <c r="I18" s="19"/>
      <c r="J18" s="26"/>
      <c r="K18" s="28" t="s">
        <v>80</v>
      </c>
      <c r="L18" s="19"/>
      <c r="M18" s="26"/>
      <c r="N18" s="28" t="s">
        <v>81</v>
      </c>
      <c r="O18" s="19"/>
      <c r="P18" s="26"/>
      <c r="Q18" s="28" t="s">
        <v>81</v>
      </c>
      <c r="R18" s="19"/>
      <c r="S18" s="26"/>
      <c r="U18" s="27" t="s">
        <v>82</v>
      </c>
      <c r="V18" s="11"/>
      <c r="W18" s="5"/>
      <c r="Y18" s="9" t="s">
        <v>83</v>
      </c>
      <c r="Z18" s="9">
        <v>1</v>
      </c>
      <c r="AA18" s="9"/>
      <c r="AC18" s="9" t="s">
        <v>84</v>
      </c>
      <c r="AD18" s="9">
        <v>1</v>
      </c>
      <c r="AE18" s="9"/>
      <c r="AG18" s="29" t="s">
        <v>85</v>
      </c>
      <c r="AH18" s="30"/>
      <c r="AI18" s="31"/>
      <c r="AJ18" s="32" t="s">
        <v>86</v>
      </c>
      <c r="AK18" s="33"/>
      <c r="AL18" s="34"/>
      <c r="AQ18" s="9" t="s">
        <v>87</v>
      </c>
      <c r="AR18" s="9">
        <v>1</v>
      </c>
      <c r="AS18" s="9" t="s">
        <v>88</v>
      </c>
      <c r="AU18" s="5" t="s">
        <v>86</v>
      </c>
      <c r="AV18" s="5"/>
      <c r="AW18" s="5"/>
      <c r="AY18" s="35" t="s">
        <v>89</v>
      </c>
      <c r="AZ18" s="5">
        <v>0.03</v>
      </c>
      <c r="BA18" s="5" t="s">
        <v>23</v>
      </c>
      <c r="BD18" s="22" t="s">
        <v>90</v>
      </c>
      <c r="BE18" s="23">
        <v>120</v>
      </c>
      <c r="BF18" s="24">
        <f>$BJ$4/BE18</f>
        <v>1.0416666666666667</v>
      </c>
    </row>
    <row r="19" spans="1:59" x14ac:dyDescent="0.25">
      <c r="A19" s="27" t="s">
        <v>91</v>
      </c>
      <c r="B19" s="5"/>
      <c r="C19" s="5"/>
      <c r="E19" s="36"/>
      <c r="F19" s="5">
        <v>7.7</v>
      </c>
      <c r="G19" s="11" t="s">
        <v>8</v>
      </c>
      <c r="H19" s="37" t="s">
        <v>92</v>
      </c>
      <c r="I19" s="5">
        <v>10.1</v>
      </c>
      <c r="J19" s="5" t="s">
        <v>8</v>
      </c>
      <c r="K19" s="37" t="s">
        <v>93</v>
      </c>
      <c r="L19" s="5">
        <v>4.2</v>
      </c>
      <c r="M19" s="5" t="s">
        <v>8</v>
      </c>
      <c r="N19" s="5" t="s">
        <v>94</v>
      </c>
      <c r="O19" s="5">
        <f>L30+L55+L60</f>
        <v>6.6453027491988532</v>
      </c>
      <c r="P19" s="5" t="s">
        <v>33</v>
      </c>
      <c r="Q19" s="5" t="s">
        <v>94</v>
      </c>
      <c r="R19" s="5">
        <f>O65+L55+L60+L30</f>
        <v>6.9111148591668066</v>
      </c>
      <c r="S19" s="5" t="s">
        <v>33</v>
      </c>
      <c r="U19" s="5" t="s">
        <v>95</v>
      </c>
      <c r="V19" s="5">
        <v>14.8</v>
      </c>
      <c r="W19" s="7" t="s">
        <v>96</v>
      </c>
      <c r="Y19" s="5" t="s">
        <v>97</v>
      </c>
      <c r="Z19" s="5">
        <v>5.6</v>
      </c>
      <c r="AA19" s="5" t="s">
        <v>98</v>
      </c>
      <c r="AC19" s="5" t="s">
        <v>99</v>
      </c>
      <c r="AD19" s="5">
        <f>B14</f>
        <v>7.5</v>
      </c>
      <c r="AE19" s="5" t="s">
        <v>23</v>
      </c>
      <c r="AG19" s="9" t="s">
        <v>100</v>
      </c>
      <c r="AH19" s="5">
        <v>4.7</v>
      </c>
      <c r="AI19" s="5" t="s">
        <v>8</v>
      </c>
      <c r="AJ19" s="38" t="s">
        <v>43</v>
      </c>
      <c r="AK19" s="18">
        <v>6.4</v>
      </c>
      <c r="AL19" s="18" t="s">
        <v>8</v>
      </c>
      <c r="AQ19" s="27" t="s">
        <v>101</v>
      </c>
      <c r="AR19" s="5"/>
      <c r="AS19" s="5"/>
      <c r="AU19" s="5" t="s">
        <v>102</v>
      </c>
      <c r="AV19" s="5">
        <v>8</v>
      </c>
      <c r="AW19" s="5"/>
      <c r="AY19" s="11" t="s">
        <v>7</v>
      </c>
      <c r="AZ19" s="5">
        <f>B13-(2*0.17)</f>
        <v>7.2882051282051288</v>
      </c>
      <c r="BA19" s="5" t="s">
        <v>23</v>
      </c>
      <c r="BD19" s="22" t="s">
        <v>103</v>
      </c>
      <c r="BE19" s="23">
        <v>120</v>
      </c>
      <c r="BF19" s="24">
        <f>$BJ$4/BE19</f>
        <v>1.0416666666666667</v>
      </c>
    </row>
    <row r="20" spans="1:59" x14ac:dyDescent="0.25">
      <c r="A20" s="5" t="s">
        <v>104</v>
      </c>
      <c r="B20" s="5">
        <v>2.7</v>
      </c>
      <c r="C20" s="5" t="s">
        <v>98</v>
      </c>
      <c r="E20" s="7"/>
      <c r="F20" s="5">
        <f>F18/F19</f>
        <v>0.64935064935064934</v>
      </c>
      <c r="G20" s="11" t="s">
        <v>105</v>
      </c>
      <c r="H20" s="35"/>
      <c r="I20" s="5">
        <f>I19*F20</f>
        <v>6.5584415584415581</v>
      </c>
      <c r="J20" s="5" t="s">
        <v>23</v>
      </c>
      <c r="K20" s="35"/>
      <c r="L20" s="5">
        <f>L19*F20</f>
        <v>2.7272727272727275</v>
      </c>
      <c r="M20" s="5" t="s">
        <v>23</v>
      </c>
      <c r="N20" s="5" t="s">
        <v>106</v>
      </c>
      <c r="O20" s="5">
        <f>ROUND(O19/$F$9,0)</f>
        <v>436</v>
      </c>
      <c r="P20" s="5"/>
      <c r="Q20" s="5" t="s">
        <v>106</v>
      </c>
      <c r="R20" s="5">
        <f>ROUND(R19/$F$9,0)</f>
        <v>454</v>
      </c>
      <c r="S20" s="5"/>
      <c r="U20" s="5" t="s">
        <v>107</v>
      </c>
      <c r="V20" s="5">
        <v>2.9</v>
      </c>
      <c r="W20" s="5" t="s">
        <v>108</v>
      </c>
      <c r="Y20" s="9" t="s">
        <v>109</v>
      </c>
      <c r="Z20" s="9">
        <f>(V24*Z19)/V25</f>
        <v>2.6415094339622645</v>
      </c>
      <c r="AA20" s="9" t="s">
        <v>23</v>
      </c>
      <c r="AC20" s="5" t="s">
        <v>110</v>
      </c>
      <c r="AD20" s="5">
        <v>0.5</v>
      </c>
      <c r="AE20" s="5" t="s">
        <v>111</v>
      </c>
      <c r="AG20" s="7"/>
      <c r="AH20" s="5">
        <f>AH19*($B$10/$B$11)</f>
        <v>3.0128205128205132</v>
      </c>
      <c r="AI20" s="5" t="s">
        <v>23</v>
      </c>
      <c r="AJ20" s="39"/>
      <c r="AK20" s="18">
        <f>AH22</f>
        <v>7.3076923076923084</v>
      </c>
      <c r="AL20" s="18" t="s">
        <v>23</v>
      </c>
      <c r="AQ20" s="5" t="s">
        <v>112</v>
      </c>
      <c r="AR20" s="5">
        <v>0.3</v>
      </c>
      <c r="AS20" s="5" t="s">
        <v>23</v>
      </c>
      <c r="AU20" s="5" t="s">
        <v>13</v>
      </c>
      <c r="AV20" s="5">
        <v>0.17</v>
      </c>
      <c r="AW20" s="5" t="s">
        <v>23</v>
      </c>
      <c r="AY20" s="11" t="s">
        <v>54</v>
      </c>
      <c r="AZ20" s="5">
        <f>B12-(2*0.17)</f>
        <v>7.6728205128205129</v>
      </c>
      <c r="BA20" s="5" t="s">
        <v>23</v>
      </c>
      <c r="BD20" s="12" t="s">
        <v>113</v>
      </c>
      <c r="BE20" s="18">
        <v>50</v>
      </c>
    </row>
    <row r="21" spans="1:59" x14ac:dyDescent="0.25">
      <c r="A21" s="5" t="s">
        <v>114</v>
      </c>
      <c r="B21" s="5">
        <v>2.2000000000000002</v>
      </c>
      <c r="C21" s="5" t="s">
        <v>98</v>
      </c>
      <c r="E21" s="40" t="s">
        <v>115</v>
      </c>
      <c r="H21" s="37" t="s">
        <v>116</v>
      </c>
      <c r="I21" s="5">
        <v>3.1</v>
      </c>
      <c r="J21" s="5" t="s">
        <v>8</v>
      </c>
      <c r="K21" s="37" t="s">
        <v>117</v>
      </c>
      <c r="L21" s="5">
        <v>12.4</v>
      </c>
      <c r="M21" s="5" t="s">
        <v>8</v>
      </c>
      <c r="N21" s="14" t="s">
        <v>118</v>
      </c>
      <c r="O21" s="5">
        <f>O20*$F$11</f>
        <v>1090</v>
      </c>
      <c r="P21" s="5" t="s">
        <v>119</v>
      </c>
      <c r="Q21" s="14" t="s">
        <v>118</v>
      </c>
      <c r="R21" s="5">
        <f>R20*$F$11</f>
        <v>1135</v>
      </c>
      <c r="S21" s="5" t="s">
        <v>119</v>
      </c>
      <c r="U21" s="27" t="s">
        <v>120</v>
      </c>
      <c r="V21" s="5"/>
      <c r="W21" s="5"/>
      <c r="Y21" s="5" t="s">
        <v>121</v>
      </c>
      <c r="Z21" s="5">
        <v>2.8</v>
      </c>
      <c r="AA21" s="5" t="s">
        <v>98</v>
      </c>
      <c r="AC21" s="5" t="s">
        <v>122</v>
      </c>
      <c r="AD21" s="5">
        <f>AD19+AD20</f>
        <v>8</v>
      </c>
      <c r="AE21" s="5" t="s">
        <v>23</v>
      </c>
      <c r="AG21" s="9" t="s">
        <v>123</v>
      </c>
      <c r="AH21" s="5">
        <v>11.4</v>
      </c>
      <c r="AI21" s="5" t="s">
        <v>8</v>
      </c>
      <c r="AJ21" s="41"/>
      <c r="AK21" s="18">
        <f>AK20/AK19</f>
        <v>1.1418269230769231</v>
      </c>
      <c r="AL21" s="18" t="s">
        <v>105</v>
      </c>
      <c r="AQ21" s="5" t="s">
        <v>124</v>
      </c>
      <c r="AR21" s="5">
        <v>0.6</v>
      </c>
      <c r="AS21" s="5" t="s">
        <v>23</v>
      </c>
      <c r="AU21" s="5" t="s">
        <v>7</v>
      </c>
      <c r="AV21" s="5">
        <f>0.17</f>
        <v>0.17</v>
      </c>
      <c r="AW21" s="5" t="s">
        <v>23</v>
      </c>
      <c r="AY21" s="11" t="s">
        <v>125</v>
      </c>
      <c r="AZ21" s="5">
        <f>AZ20*AZ19</f>
        <v>55.921089809335967</v>
      </c>
      <c r="BA21" s="5" t="s">
        <v>33</v>
      </c>
      <c r="BD21" s="22" t="s">
        <v>126</v>
      </c>
      <c r="BE21" s="23">
        <v>40</v>
      </c>
      <c r="BF21" s="24">
        <f>$BJ$4/BE21</f>
        <v>3.125</v>
      </c>
      <c r="BG21">
        <v>3</v>
      </c>
    </row>
    <row r="22" spans="1:59" x14ac:dyDescent="0.25">
      <c r="A22" s="5" t="s">
        <v>127</v>
      </c>
      <c r="B22" s="5">
        <v>5</v>
      </c>
      <c r="C22" s="5" t="s">
        <v>23</v>
      </c>
      <c r="E22" s="37" t="s">
        <v>93</v>
      </c>
      <c r="F22" s="5">
        <v>11.7</v>
      </c>
      <c r="G22" s="11" t="s">
        <v>8</v>
      </c>
      <c r="H22" s="35"/>
      <c r="I22" s="5">
        <f>I21*F20</f>
        <v>2.0129870129870131</v>
      </c>
      <c r="J22" s="5" t="s">
        <v>23</v>
      </c>
      <c r="K22" s="35"/>
      <c r="L22" s="5">
        <f>L21*F20</f>
        <v>8.0519480519480524</v>
      </c>
      <c r="M22" s="5" t="s">
        <v>23</v>
      </c>
      <c r="N22" s="5" t="s">
        <v>128</v>
      </c>
      <c r="O22" s="5">
        <f>O20*($F$9-$F$8)</f>
        <v>1.2731199999999996</v>
      </c>
      <c r="P22" s="5" t="s">
        <v>33</v>
      </c>
      <c r="Q22" s="5" t="s">
        <v>128</v>
      </c>
      <c r="R22" s="5">
        <f>R20*($F$9-$F$8)</f>
        <v>1.3256799999999995</v>
      </c>
      <c r="S22" s="5" t="s">
        <v>33</v>
      </c>
      <c r="U22" s="5" t="s">
        <v>129</v>
      </c>
      <c r="V22" s="5">
        <v>10.3</v>
      </c>
      <c r="W22" s="5" t="s">
        <v>98</v>
      </c>
      <c r="Y22" s="5" t="s">
        <v>130</v>
      </c>
      <c r="Z22" s="5">
        <f>(V24*Z21)/V25</f>
        <v>1.3207547169811322</v>
      </c>
      <c r="AA22" s="5" t="s">
        <v>23</v>
      </c>
      <c r="AC22" s="27" t="s">
        <v>131</v>
      </c>
      <c r="AD22" s="5"/>
      <c r="AE22" s="5"/>
      <c r="AG22" s="7"/>
      <c r="AH22" s="5">
        <f>AH21*($B$10/$B$11)</f>
        <v>7.3076923076923084</v>
      </c>
      <c r="AI22" s="5" t="s">
        <v>23</v>
      </c>
      <c r="AJ22" s="42" t="s">
        <v>93</v>
      </c>
      <c r="AK22" s="18">
        <f>AK20</f>
        <v>7.3076923076923084</v>
      </c>
      <c r="AL22" s="18" t="s">
        <v>23</v>
      </c>
      <c r="AQ22" s="9" t="s">
        <v>14</v>
      </c>
      <c r="AR22" s="9">
        <v>0.3</v>
      </c>
      <c r="AS22" s="9" t="s">
        <v>23</v>
      </c>
      <c r="AU22" s="5" t="s">
        <v>132</v>
      </c>
      <c r="AV22" s="5">
        <f>B13</f>
        <v>7.6282051282051286</v>
      </c>
      <c r="AW22" s="5" t="s">
        <v>23</v>
      </c>
      <c r="AY22" s="11" t="s">
        <v>133</v>
      </c>
      <c r="AZ22" s="5">
        <v>2</v>
      </c>
      <c r="BA22" s="5"/>
      <c r="BD22" s="18" t="s">
        <v>134</v>
      </c>
      <c r="BE22" s="18">
        <v>60</v>
      </c>
    </row>
    <row r="23" spans="1:59" x14ac:dyDescent="0.25">
      <c r="A23" s="5" t="s">
        <v>135</v>
      </c>
      <c r="B23" s="5">
        <v>7.8</v>
      </c>
      <c r="C23" s="5" t="s">
        <v>98</v>
      </c>
      <c r="E23" s="35"/>
      <c r="F23" s="5">
        <f>F22*F20</f>
        <v>7.5974025974025965</v>
      </c>
      <c r="G23" s="11" t="s">
        <v>23</v>
      </c>
      <c r="H23" s="43" t="s">
        <v>136</v>
      </c>
      <c r="I23" s="5">
        <f>0.5*(F23+I20)*I22</f>
        <v>14.247765221791195</v>
      </c>
      <c r="J23" s="5" t="s">
        <v>33</v>
      </c>
      <c r="K23" s="43" t="s">
        <v>137</v>
      </c>
      <c r="L23" s="5">
        <f>L20*L22</f>
        <v>21.959858323494689</v>
      </c>
      <c r="M23" s="5" t="s">
        <v>33</v>
      </c>
      <c r="N23" s="5" t="s">
        <v>138</v>
      </c>
      <c r="O23" s="5">
        <f>O22*($F$4*10^-2)</f>
        <v>0.13749695999999997</v>
      </c>
      <c r="P23" s="5" t="s">
        <v>21</v>
      </c>
      <c r="Q23" s="5" t="s">
        <v>138</v>
      </c>
      <c r="R23" s="5">
        <f>R22*($F$4*10^-2)</f>
        <v>0.14317343999999996</v>
      </c>
      <c r="S23" s="5" t="s">
        <v>21</v>
      </c>
      <c r="U23" s="5" t="s">
        <v>139</v>
      </c>
      <c r="V23" s="5">
        <v>16.2</v>
      </c>
      <c r="W23" s="5" t="s">
        <v>98</v>
      </c>
      <c r="Y23" s="5" t="s">
        <v>140</v>
      </c>
      <c r="Z23" s="5">
        <v>3.3</v>
      </c>
      <c r="AA23" s="5" t="s">
        <v>98</v>
      </c>
      <c r="AC23" s="5" t="s">
        <v>141</v>
      </c>
      <c r="AD23" s="5">
        <f>1.8</f>
        <v>1.8</v>
      </c>
      <c r="AE23" s="5" t="s">
        <v>8</v>
      </c>
      <c r="AG23" s="9" t="s">
        <v>142</v>
      </c>
      <c r="AH23" s="5">
        <v>1.1000000000000001</v>
      </c>
      <c r="AI23" s="5" t="s">
        <v>8</v>
      </c>
      <c r="AJ23" s="38" t="s">
        <v>117</v>
      </c>
      <c r="AK23" s="18">
        <v>7.2</v>
      </c>
      <c r="AL23" s="18" t="s">
        <v>8</v>
      </c>
      <c r="AQ23" s="5" t="s">
        <v>143</v>
      </c>
      <c r="AR23" s="5">
        <f>AR20*AR21</f>
        <v>0.18</v>
      </c>
      <c r="AS23" s="5" t="s">
        <v>33</v>
      </c>
      <c r="AU23" s="5" t="s">
        <v>144</v>
      </c>
      <c r="AV23" s="5">
        <f>(AV22*AV21*AV20)*AV19</f>
        <v>1.7636410256410258</v>
      </c>
      <c r="AW23" s="5" t="s">
        <v>21</v>
      </c>
      <c r="AY23" s="11" t="s">
        <v>145</v>
      </c>
      <c r="AZ23" s="5">
        <f>AZ21*AZ22</f>
        <v>111.84217961867193</v>
      </c>
      <c r="BA23" s="5" t="s">
        <v>33</v>
      </c>
      <c r="BD23" s="16" t="s">
        <v>146</v>
      </c>
      <c r="BE23" s="16">
        <v>60</v>
      </c>
      <c r="BF23">
        <f>$BJ$4/BE23</f>
        <v>2.0833333333333335</v>
      </c>
      <c r="BG23">
        <v>2</v>
      </c>
    </row>
    <row r="24" spans="1:59" x14ac:dyDescent="0.25">
      <c r="A24" s="5" t="s">
        <v>147</v>
      </c>
      <c r="B24" s="5">
        <f>(B22*B20)/B23</f>
        <v>1.7307692307692308</v>
      </c>
      <c r="C24" s="5" t="s">
        <v>23</v>
      </c>
      <c r="E24" s="37" t="s">
        <v>117</v>
      </c>
      <c r="F24" s="5">
        <v>4</v>
      </c>
      <c r="G24" s="11" t="s">
        <v>8</v>
      </c>
      <c r="H24" s="37" t="s">
        <v>148</v>
      </c>
      <c r="I24" s="5">
        <v>1.4</v>
      </c>
      <c r="J24" s="5" t="s">
        <v>8</v>
      </c>
      <c r="K24" s="37" t="s">
        <v>149</v>
      </c>
      <c r="L24" s="5">
        <v>1</v>
      </c>
      <c r="M24" s="5" t="s">
        <v>8</v>
      </c>
      <c r="N24" s="14" t="s">
        <v>150</v>
      </c>
      <c r="O24" s="5">
        <f>O23*$F$12</f>
        <v>233.74483199999995</v>
      </c>
      <c r="P24" s="5" t="s">
        <v>119</v>
      </c>
      <c r="Q24" s="14" t="s">
        <v>150</v>
      </c>
      <c r="R24" s="5">
        <f>R23*$F$12</f>
        <v>243.39484799999994</v>
      </c>
      <c r="S24" s="5" t="s">
        <v>119</v>
      </c>
      <c r="U24" s="5" t="s">
        <v>151</v>
      </c>
      <c r="V24" s="5">
        <v>5</v>
      </c>
      <c r="W24" s="5" t="s">
        <v>23</v>
      </c>
      <c r="Y24" s="9" t="s">
        <v>152</v>
      </c>
      <c r="Z24" s="9">
        <f>(V24*Z23)/V25</f>
        <v>1.5566037735849056</v>
      </c>
      <c r="AA24" s="9" t="s">
        <v>23</v>
      </c>
      <c r="AC24" s="5" t="s">
        <v>147</v>
      </c>
      <c r="AD24" s="5">
        <f>(B10*AD23)/B11</f>
        <v>1.153846153846154</v>
      </c>
      <c r="AE24" s="5" t="s">
        <v>23</v>
      </c>
      <c r="AG24" s="7"/>
      <c r="AH24" s="5">
        <f>AH23*($B$10/$B$11)</f>
        <v>0.70512820512820529</v>
      </c>
      <c r="AI24" s="5" t="s">
        <v>23</v>
      </c>
      <c r="AJ24" s="41"/>
      <c r="AK24" s="18">
        <f>AK21*AK23</f>
        <v>8.2211538461538467</v>
      </c>
      <c r="AL24" s="18" t="s">
        <v>23</v>
      </c>
      <c r="AQ24" s="5" t="s">
        <v>153</v>
      </c>
      <c r="AR24" s="5">
        <f>F10</f>
        <v>0.80829831932773122</v>
      </c>
      <c r="AS24" s="5" t="s">
        <v>154</v>
      </c>
      <c r="AU24" s="29" t="s">
        <v>155</v>
      </c>
      <c r="AW24" s="44"/>
      <c r="AY24" s="25" t="s">
        <v>156</v>
      </c>
      <c r="AZ24" s="14">
        <f>AZ23*AZ18</f>
        <v>3.355265388560158</v>
      </c>
      <c r="BA24" s="14" t="s">
        <v>21</v>
      </c>
      <c r="BD24" s="45" t="s">
        <v>157</v>
      </c>
      <c r="BE24" s="45">
        <v>50</v>
      </c>
      <c r="BF24">
        <f>$BJ$4/BE24</f>
        <v>2.5</v>
      </c>
      <c r="BG24">
        <v>2</v>
      </c>
    </row>
    <row r="25" spans="1:59" x14ac:dyDescent="0.25">
      <c r="A25" s="5" t="s">
        <v>158</v>
      </c>
      <c r="B25" s="5">
        <f>(B22*B21)/B23</f>
        <v>1.4102564102564104</v>
      </c>
      <c r="C25" s="5" t="s">
        <v>23</v>
      </c>
      <c r="E25" s="35"/>
      <c r="F25" s="5">
        <f>F24*F20</f>
        <v>2.5974025974025974</v>
      </c>
      <c r="G25" s="11" t="s">
        <v>23</v>
      </c>
      <c r="H25" s="35"/>
      <c r="I25" s="5">
        <f>I24*F20</f>
        <v>0.90909090909090906</v>
      </c>
      <c r="J25" s="5" t="s">
        <v>23</v>
      </c>
      <c r="K25" s="35"/>
      <c r="L25" s="5">
        <f>L24*F20</f>
        <v>0.64935064935064934</v>
      </c>
      <c r="M25" s="5" t="s">
        <v>23</v>
      </c>
      <c r="N25" s="40" t="s">
        <v>159</v>
      </c>
      <c r="P25" s="44"/>
      <c r="Q25" s="46" t="s">
        <v>160</v>
      </c>
      <c r="S25" s="44"/>
      <c r="U25" s="5" t="s">
        <v>161</v>
      </c>
      <c r="V25" s="5">
        <v>10.6</v>
      </c>
      <c r="W25" s="5" t="s">
        <v>98</v>
      </c>
      <c r="Y25" s="5" t="s">
        <v>162</v>
      </c>
      <c r="Z25" s="5">
        <v>1.4</v>
      </c>
      <c r="AA25" s="5" t="s">
        <v>98</v>
      </c>
      <c r="AC25" s="5" t="s">
        <v>112</v>
      </c>
      <c r="AD25" s="5">
        <f>V39</f>
        <v>0.17</v>
      </c>
      <c r="AE25" s="5" t="s">
        <v>23</v>
      </c>
      <c r="AG25" s="9" t="s">
        <v>163</v>
      </c>
      <c r="AH25" s="5">
        <v>1.5</v>
      </c>
      <c r="AI25" s="5" t="s">
        <v>8</v>
      </c>
      <c r="AJ25" s="38" t="s">
        <v>149</v>
      </c>
      <c r="AK25" s="18">
        <v>2</v>
      </c>
      <c r="AL25" s="18" t="s">
        <v>8</v>
      </c>
      <c r="AQ25" s="27" t="s">
        <v>164</v>
      </c>
      <c r="AR25" s="5"/>
      <c r="AS25" s="5"/>
      <c r="AU25" s="5" t="s">
        <v>165</v>
      </c>
      <c r="AV25" s="5">
        <f>'[1]Typehus AA1890'!AQ45</f>
        <v>5.0000000000000001E-3</v>
      </c>
      <c r="AW25" s="5" t="s">
        <v>23</v>
      </c>
      <c r="AY25" s="6" t="s">
        <v>166</v>
      </c>
      <c r="AZ25" s="5"/>
      <c r="BA25" s="5"/>
      <c r="BD25" s="16" t="s">
        <v>167</v>
      </c>
      <c r="BE25" s="16">
        <v>50</v>
      </c>
      <c r="BF25">
        <f>$BJ$4/BE25</f>
        <v>2.5</v>
      </c>
      <c r="BG25">
        <v>2</v>
      </c>
    </row>
    <row r="26" spans="1:59" x14ac:dyDescent="0.25">
      <c r="A26" s="5" t="s">
        <v>136</v>
      </c>
      <c r="B26" s="5">
        <f>B25*B24</f>
        <v>2.440828402366864</v>
      </c>
      <c r="C26" s="5" t="s">
        <v>33</v>
      </c>
      <c r="E26" s="43" t="s">
        <v>136</v>
      </c>
      <c r="F26" s="5">
        <f>F23*F25</f>
        <v>19.733513240006744</v>
      </c>
      <c r="G26" s="11" t="s">
        <v>33</v>
      </c>
      <c r="H26" s="37" t="s">
        <v>168</v>
      </c>
      <c r="I26" s="5">
        <v>0.8</v>
      </c>
      <c r="J26" s="5" t="s">
        <v>8</v>
      </c>
      <c r="K26" s="37" t="s">
        <v>169</v>
      </c>
      <c r="L26" s="5">
        <v>0.9</v>
      </c>
      <c r="M26" s="5" t="s">
        <v>8</v>
      </c>
      <c r="N26" s="5" t="s">
        <v>170</v>
      </c>
      <c r="O26" s="5">
        <f>L51+L81</f>
        <v>3.3563838758643945</v>
      </c>
      <c r="P26" s="5" t="s">
        <v>33</v>
      </c>
      <c r="Q26" s="5" t="s">
        <v>171</v>
      </c>
      <c r="R26" s="5">
        <f>L23-(L40*L50)-O36-O40-O59-R19</f>
        <v>8.0958003035925135</v>
      </c>
      <c r="S26" s="5" t="s">
        <v>33</v>
      </c>
      <c r="U26" s="5" t="s">
        <v>172</v>
      </c>
      <c r="V26" s="5">
        <f>(V24*V22)/V25</f>
        <v>4.8584905660377364</v>
      </c>
      <c r="W26" s="5" t="s">
        <v>23</v>
      </c>
      <c r="Y26" s="5" t="s">
        <v>173</v>
      </c>
      <c r="Z26" s="5">
        <f>(V24*Z25)/V25</f>
        <v>0.66037735849056611</v>
      </c>
      <c r="AA26" s="5" t="s">
        <v>23</v>
      </c>
      <c r="AC26" s="5" t="s">
        <v>14</v>
      </c>
      <c r="AD26" s="5">
        <f>V40</f>
        <v>0.17</v>
      </c>
      <c r="AE26" s="5" t="s">
        <v>23</v>
      </c>
      <c r="AG26" s="7"/>
      <c r="AH26" s="5">
        <f>AH25*($B$10/$B$11)</f>
        <v>0.96153846153846168</v>
      </c>
      <c r="AI26" s="5" t="s">
        <v>23</v>
      </c>
      <c r="AJ26" s="41"/>
      <c r="AK26" s="18">
        <f>AK25*AK21</f>
        <v>2.2836538461538463</v>
      </c>
      <c r="AL26" s="18" t="s">
        <v>23</v>
      </c>
      <c r="AQ26" s="5" t="s">
        <v>174</v>
      </c>
      <c r="AR26" s="5">
        <v>1.2</v>
      </c>
      <c r="AS26" s="5" t="s">
        <v>8</v>
      </c>
      <c r="AU26" s="5" t="s">
        <v>14</v>
      </c>
      <c r="AV26" s="5">
        <f>'[1]Typehus AA1890'!AQ46</f>
        <v>0.05</v>
      </c>
      <c r="AW26" s="5" t="s">
        <v>23</v>
      </c>
      <c r="AY26" s="35" t="s">
        <v>89</v>
      </c>
      <c r="AZ26" s="5">
        <v>0.02</v>
      </c>
      <c r="BA26" s="5" t="s">
        <v>23</v>
      </c>
      <c r="BD26" s="47" t="s">
        <v>175</v>
      </c>
      <c r="BE26" s="47">
        <v>60</v>
      </c>
      <c r="BF26">
        <f>$BJ$4/BE26</f>
        <v>2.0833333333333335</v>
      </c>
      <c r="BG26">
        <v>2</v>
      </c>
    </row>
    <row r="27" spans="1:59" x14ac:dyDescent="0.25">
      <c r="A27" s="27" t="s">
        <v>176</v>
      </c>
      <c r="B27" s="5"/>
      <c r="C27" s="5"/>
      <c r="E27" s="37" t="s">
        <v>177</v>
      </c>
      <c r="F27" s="5">
        <f>F28/F20</f>
        <v>0.26180000000000003</v>
      </c>
      <c r="G27" s="11" t="s">
        <v>8</v>
      </c>
      <c r="H27" s="35"/>
      <c r="I27" s="5">
        <f>I26*F20</f>
        <v>0.51948051948051954</v>
      </c>
      <c r="J27" s="5" t="s">
        <v>23</v>
      </c>
      <c r="K27" s="35"/>
      <c r="L27" s="5">
        <f>L26*F20</f>
        <v>0.58441558441558439</v>
      </c>
      <c r="M27" s="5" t="s">
        <v>23</v>
      </c>
      <c r="N27" s="5" t="s">
        <v>178</v>
      </c>
      <c r="O27" s="5">
        <f>L82+L52</f>
        <v>2.816663855624896</v>
      </c>
      <c r="P27" s="5" t="s">
        <v>33</v>
      </c>
      <c r="Q27" s="14" t="s">
        <v>179</v>
      </c>
      <c r="R27" s="5">
        <f>R26*(J2*10^-2)</f>
        <v>1.3762860516107274</v>
      </c>
      <c r="S27" s="5" t="s">
        <v>21</v>
      </c>
      <c r="U27" s="5" t="s">
        <v>158</v>
      </c>
      <c r="V27" s="5">
        <f>(V24*V23)/V25</f>
        <v>7.6415094339622645</v>
      </c>
      <c r="W27" s="5" t="s">
        <v>23</v>
      </c>
      <c r="Y27" s="5" t="s">
        <v>180</v>
      </c>
      <c r="Z27" s="5">
        <v>1</v>
      </c>
      <c r="AA27" s="5" t="s">
        <v>98</v>
      </c>
      <c r="AC27" s="20" t="s">
        <v>181</v>
      </c>
      <c r="AD27" s="20">
        <f>AD26*AD25*AD24</f>
        <v>3.3346153846153859E-2</v>
      </c>
      <c r="AE27" s="20" t="s">
        <v>21</v>
      </c>
      <c r="AG27" s="9" t="s">
        <v>182</v>
      </c>
      <c r="AH27" s="5">
        <v>1.3</v>
      </c>
      <c r="AI27" s="5" t="s">
        <v>8</v>
      </c>
      <c r="AJ27" s="38" t="s">
        <v>169</v>
      </c>
      <c r="AK27" s="18">
        <v>5.3</v>
      </c>
      <c r="AL27" s="18" t="s">
        <v>8</v>
      </c>
      <c r="AQ27" s="5" t="s">
        <v>183</v>
      </c>
      <c r="AR27" s="5">
        <f>((F18*AR26)/F19)+AR17</f>
        <v>1.0292207792207793</v>
      </c>
      <c r="AS27" s="5" t="s">
        <v>23</v>
      </c>
      <c r="AU27" s="5" t="s">
        <v>124</v>
      </c>
      <c r="AV27" s="5">
        <f>L22</f>
        <v>8.0519480519480524</v>
      </c>
      <c r="AW27" s="5" t="s">
        <v>23</v>
      </c>
      <c r="AY27" s="37" t="s">
        <v>184</v>
      </c>
      <c r="AZ27" s="9">
        <v>1</v>
      </c>
      <c r="BA27" s="9"/>
      <c r="BD27" s="16" t="s">
        <v>185</v>
      </c>
      <c r="BE27" s="16">
        <v>50</v>
      </c>
      <c r="BF27">
        <f>$BJ$4/BE27</f>
        <v>2.5</v>
      </c>
      <c r="BG27">
        <v>2</v>
      </c>
    </row>
    <row r="28" spans="1:59" x14ac:dyDescent="0.25">
      <c r="A28" s="5" t="s">
        <v>104</v>
      </c>
      <c r="B28" s="5">
        <v>6.6</v>
      </c>
      <c r="C28" s="5" t="s">
        <v>98</v>
      </c>
      <c r="E28" s="35"/>
      <c r="F28" s="5">
        <v>0.17</v>
      </c>
      <c r="G28" s="11" t="s">
        <v>23</v>
      </c>
      <c r="H28" s="43" t="s">
        <v>186</v>
      </c>
      <c r="I28" s="5">
        <f>I25*I27</f>
        <v>0.47225501770956319</v>
      </c>
      <c r="J28" s="5" t="s">
        <v>33</v>
      </c>
      <c r="K28" s="43" t="s">
        <v>187</v>
      </c>
      <c r="L28" s="5">
        <f>L25*L27</f>
        <v>0.37949063923089893</v>
      </c>
      <c r="M28" s="5" t="s">
        <v>33</v>
      </c>
      <c r="N28" s="5" t="s">
        <v>188</v>
      </c>
      <c r="O28" s="5">
        <f>L65</f>
        <v>2.8756957328385901</v>
      </c>
      <c r="P28" s="5" t="s">
        <v>33</v>
      </c>
      <c r="Q28" s="40" t="s">
        <v>189</v>
      </c>
      <c r="S28" s="44"/>
      <c r="U28" s="5" t="s">
        <v>190</v>
      </c>
      <c r="V28" s="5">
        <f>SQRT((V26^2)+(V27^2))</f>
        <v>9.055252454217495</v>
      </c>
      <c r="W28" s="5" t="s">
        <v>23</v>
      </c>
      <c r="Y28" s="5" t="s">
        <v>191</v>
      </c>
      <c r="Z28" s="5">
        <f>(V24*Z27)/V25</f>
        <v>0.47169811320754718</v>
      </c>
      <c r="AA28" s="5" t="s">
        <v>23</v>
      </c>
      <c r="AC28" s="5" t="s">
        <v>192</v>
      </c>
      <c r="AD28" s="5">
        <v>2.2000000000000002</v>
      </c>
      <c r="AE28" s="5" t="s">
        <v>8</v>
      </c>
      <c r="AG28" s="36"/>
      <c r="AH28" s="5">
        <f>AH27*($B$10/$B$11)</f>
        <v>0.83333333333333348</v>
      </c>
      <c r="AI28" s="5" t="s">
        <v>23</v>
      </c>
      <c r="AJ28" s="41"/>
      <c r="AK28" s="18">
        <f>AK27*AK21</f>
        <v>6.0516826923076925</v>
      </c>
      <c r="AL28" s="18" t="s">
        <v>23</v>
      </c>
      <c r="AQ28" s="5" t="s">
        <v>193</v>
      </c>
      <c r="AR28" s="5">
        <v>1.5</v>
      </c>
      <c r="AS28" s="5" t="s">
        <v>8</v>
      </c>
      <c r="AU28" s="5" t="s">
        <v>194</v>
      </c>
      <c r="AV28" s="5">
        <f>ROUND(AV27/1,0)</f>
        <v>8</v>
      </c>
      <c r="AW28" s="5"/>
      <c r="AY28" s="5" t="s">
        <v>195</v>
      </c>
      <c r="AZ28" s="5">
        <f>AZ21</f>
        <v>55.921089809335967</v>
      </c>
      <c r="BA28" s="5" t="s">
        <v>33</v>
      </c>
      <c r="BD28" s="18" t="s">
        <v>196</v>
      </c>
      <c r="BE28" s="18">
        <v>50</v>
      </c>
    </row>
    <row r="29" spans="1:59" x14ac:dyDescent="0.25">
      <c r="A29" s="5" t="s">
        <v>114</v>
      </c>
      <c r="B29" s="5">
        <v>4.7</v>
      </c>
      <c r="C29" s="5" t="s">
        <v>98</v>
      </c>
      <c r="E29" s="37" t="s">
        <v>197</v>
      </c>
      <c r="F29" s="5">
        <v>1.5</v>
      </c>
      <c r="G29" s="11" t="s">
        <v>8</v>
      </c>
      <c r="H29" s="43" t="s">
        <v>198</v>
      </c>
      <c r="I29" s="5">
        <v>2</v>
      </c>
      <c r="J29" s="5"/>
      <c r="K29" s="5" t="s">
        <v>198</v>
      </c>
      <c r="L29" s="5">
        <v>8</v>
      </c>
      <c r="M29" s="5"/>
      <c r="N29" s="40" t="s">
        <v>160</v>
      </c>
      <c r="P29" s="44"/>
      <c r="Q29" s="5" t="s">
        <v>94</v>
      </c>
      <c r="R29" s="5">
        <f>((F48+I66)*2)+O19+R19</f>
        <v>53.50109630629111</v>
      </c>
      <c r="S29" s="5" t="s">
        <v>33</v>
      </c>
      <c r="U29" s="5" t="s">
        <v>199</v>
      </c>
      <c r="V29" s="5">
        <f>B12</f>
        <v>8.0128205128205128</v>
      </c>
      <c r="W29" s="5" t="s">
        <v>23</v>
      </c>
      <c r="Y29" s="5" t="s">
        <v>200</v>
      </c>
      <c r="Z29" s="5">
        <v>0.7</v>
      </c>
      <c r="AA29" s="5" t="s">
        <v>8</v>
      </c>
      <c r="AC29" s="5" t="s">
        <v>201</v>
      </c>
      <c r="AD29" s="5">
        <f>(B10*AD28)/B11</f>
        <v>1.4102564102564104</v>
      </c>
      <c r="AE29" s="5" t="s">
        <v>23</v>
      </c>
      <c r="AG29" s="9" t="s">
        <v>202</v>
      </c>
      <c r="AH29" s="5">
        <v>5.0999999999999996</v>
      </c>
      <c r="AI29" s="5" t="s">
        <v>8</v>
      </c>
      <c r="AJ29" s="38" t="s">
        <v>203</v>
      </c>
      <c r="AK29" s="18">
        <v>0.8</v>
      </c>
      <c r="AL29" s="18" t="s">
        <v>8</v>
      </c>
      <c r="AQ29" s="9" t="s">
        <v>204</v>
      </c>
      <c r="AR29" s="9">
        <f>((F18*AR28)/F19)+AR17</f>
        <v>1.224025974025974</v>
      </c>
      <c r="AS29" s="9" t="s">
        <v>23</v>
      </c>
      <c r="AU29" s="5" t="s">
        <v>205</v>
      </c>
      <c r="AV29" s="5">
        <f>AV25*AV26*AV27*AV28</f>
        <v>1.6103896103896106E-2</v>
      </c>
      <c r="AW29" s="5" t="s">
        <v>21</v>
      </c>
      <c r="AY29" s="5" t="s">
        <v>206</v>
      </c>
      <c r="AZ29" s="5">
        <f>AZ28*AZ26</f>
        <v>1.1184217961867193</v>
      </c>
      <c r="BA29" s="5" t="s">
        <v>21</v>
      </c>
      <c r="BD29" s="16" t="s">
        <v>207</v>
      </c>
      <c r="BE29" s="16">
        <v>40</v>
      </c>
      <c r="BF29">
        <f>$BJ$4/BE29</f>
        <v>3.125</v>
      </c>
      <c r="BG29">
        <v>3</v>
      </c>
    </row>
    <row r="30" spans="1:59" x14ac:dyDescent="0.25">
      <c r="A30" s="5" t="s">
        <v>147</v>
      </c>
      <c r="B30" s="5">
        <f>(B22*B28)/B23</f>
        <v>4.2307692307692308</v>
      </c>
      <c r="C30" s="5" t="s">
        <v>23</v>
      </c>
      <c r="E30" s="35"/>
      <c r="F30" s="5">
        <f>F29*F20</f>
        <v>0.97402597402597402</v>
      </c>
      <c r="G30" s="11" t="s">
        <v>23</v>
      </c>
      <c r="H30" s="43" t="s">
        <v>208</v>
      </c>
      <c r="I30" s="5">
        <f>I28*I29</f>
        <v>0.94451003541912637</v>
      </c>
      <c r="J30" s="5" t="s">
        <v>33</v>
      </c>
      <c r="K30" s="5" t="s">
        <v>209</v>
      </c>
      <c r="L30" s="5">
        <f>L28*L29</f>
        <v>3.0359251138471914</v>
      </c>
      <c r="M30" s="5" t="s">
        <v>33</v>
      </c>
      <c r="N30" s="5" t="s">
        <v>171</v>
      </c>
      <c r="O30" s="5">
        <f>L23-O19-(L41*L50)-L65-L70</f>
        <v>6.2658121099679551</v>
      </c>
      <c r="P30" s="5" t="s">
        <v>33</v>
      </c>
      <c r="Q30" s="5" t="s">
        <v>165</v>
      </c>
      <c r="R30" s="5">
        <f>(10+15)/2</f>
        <v>12.5</v>
      </c>
      <c r="S30" s="5" t="s">
        <v>210</v>
      </c>
      <c r="U30" s="5" t="s">
        <v>211</v>
      </c>
      <c r="V30" s="5">
        <f>V29*V28</f>
        <v>72.558112613922233</v>
      </c>
      <c r="W30" s="5" t="s">
        <v>33</v>
      </c>
      <c r="Y30" s="5" t="s">
        <v>212</v>
      </c>
      <c r="Z30" s="5">
        <f>(V24*Z29)/V25</f>
        <v>0.33018867924528306</v>
      </c>
      <c r="AA30" s="5" t="s">
        <v>23</v>
      </c>
      <c r="AC30" s="5" t="s">
        <v>213</v>
      </c>
      <c r="AD30" s="5">
        <v>1.8</v>
      </c>
      <c r="AE30" s="5" t="s">
        <v>8</v>
      </c>
      <c r="AG30" s="7"/>
      <c r="AH30" s="5">
        <f>AH29*($B$10/$B$11)</f>
        <v>3.2692307692307692</v>
      </c>
      <c r="AI30" s="5" t="s">
        <v>23</v>
      </c>
      <c r="AJ30" s="41"/>
      <c r="AK30" s="18">
        <f>AK29*AK21</f>
        <v>0.91346153846153855</v>
      </c>
      <c r="AL30" s="18" t="s">
        <v>23</v>
      </c>
      <c r="AQ30" s="5" t="s">
        <v>214</v>
      </c>
      <c r="AR30" s="5">
        <f>((AR27+AR29)/2)*L22</f>
        <v>9.071512902681734</v>
      </c>
      <c r="AS30" s="5" t="s">
        <v>33</v>
      </c>
      <c r="AU30" s="5" t="s">
        <v>215</v>
      </c>
      <c r="AV30" s="5">
        <f>'[1]Typehus AA1890'!AQ50</f>
        <v>7850</v>
      </c>
      <c r="AW30" s="5" t="str">
        <f>'[1]Typehus AA1890'!AR50</f>
        <v>kg/m3</v>
      </c>
      <c r="AY30" s="5" t="s">
        <v>216</v>
      </c>
      <c r="AZ30" s="5"/>
      <c r="BA30" s="5"/>
      <c r="BD30" s="16" t="s">
        <v>217</v>
      </c>
      <c r="BE30" s="16">
        <v>100</v>
      </c>
      <c r="BF30">
        <f>$BJ$4/BE30</f>
        <v>1.25</v>
      </c>
      <c r="BG30">
        <v>1</v>
      </c>
    </row>
    <row r="31" spans="1:59" x14ac:dyDescent="0.25">
      <c r="A31" s="5" t="s">
        <v>158</v>
      </c>
      <c r="B31" s="5">
        <f>(B22*B29)/B23</f>
        <v>3.0128205128205128</v>
      </c>
      <c r="C31" s="5" t="s">
        <v>23</v>
      </c>
      <c r="E31" s="37" t="s">
        <v>169</v>
      </c>
      <c r="F31" s="5">
        <v>0.9</v>
      </c>
      <c r="G31" s="11" t="s">
        <v>8</v>
      </c>
      <c r="H31" s="37" t="s">
        <v>218</v>
      </c>
      <c r="I31" s="5">
        <v>2</v>
      </c>
      <c r="J31" s="5" t="s">
        <v>8</v>
      </c>
      <c r="K31" s="37" t="s">
        <v>219</v>
      </c>
      <c r="L31" s="5">
        <v>2.2000000000000002</v>
      </c>
      <c r="M31" s="5" t="s">
        <v>8</v>
      </c>
      <c r="N31" s="14" t="s">
        <v>179</v>
      </c>
      <c r="O31" s="5">
        <f>O30*($J$2*10^-2)</f>
        <v>1.0651880586945524</v>
      </c>
      <c r="P31" s="5" t="s">
        <v>21</v>
      </c>
      <c r="Q31" s="5" t="s">
        <v>220</v>
      </c>
      <c r="R31" s="5">
        <f>R29*(R30*10^-3)</f>
        <v>0.66876370382863892</v>
      </c>
      <c r="S31" s="5" t="s">
        <v>21</v>
      </c>
      <c r="U31" s="5" t="s">
        <v>221</v>
      </c>
      <c r="V31" s="5">
        <f>V30*2</f>
        <v>145.11622522784447</v>
      </c>
      <c r="W31" s="5" t="s">
        <v>33</v>
      </c>
      <c r="Y31" s="5" t="s">
        <v>222</v>
      </c>
      <c r="Z31" s="5">
        <v>0.5</v>
      </c>
      <c r="AA31" s="5" t="s">
        <v>8</v>
      </c>
      <c r="AC31" s="5" t="s">
        <v>223</v>
      </c>
      <c r="AD31" s="5">
        <f>(B10*AD30)/B11</f>
        <v>1.153846153846154</v>
      </c>
      <c r="AE31" s="5" t="s">
        <v>23</v>
      </c>
      <c r="AG31" s="36" t="s">
        <v>224</v>
      </c>
      <c r="AH31" s="5">
        <v>4.4000000000000004</v>
      </c>
      <c r="AI31" s="5" t="s">
        <v>8</v>
      </c>
      <c r="AJ31" s="38" t="s">
        <v>219</v>
      </c>
      <c r="AK31" s="18">
        <v>1</v>
      </c>
      <c r="AL31" s="18" t="s">
        <v>8</v>
      </c>
      <c r="AQ31" s="5" t="s">
        <v>225</v>
      </c>
      <c r="AR31" s="5">
        <f>AR30*AR24</f>
        <v>7.3324886329974746</v>
      </c>
      <c r="AS31" s="5" t="s">
        <v>226</v>
      </c>
      <c r="AU31" s="5" t="s">
        <v>227</v>
      </c>
      <c r="AV31" s="5">
        <f>AV30*AV29</f>
        <v>126.41558441558443</v>
      </c>
      <c r="AW31" s="5" t="s">
        <v>35</v>
      </c>
      <c r="AY31" s="5" t="s">
        <v>228</v>
      </c>
      <c r="AZ31" s="5"/>
      <c r="BA31" s="5" t="s">
        <v>23</v>
      </c>
      <c r="BD31" s="5" t="s">
        <v>229</v>
      </c>
      <c r="BE31" s="5">
        <v>80</v>
      </c>
      <c r="BF31">
        <f>$BJ$4/BE31</f>
        <v>1.5625</v>
      </c>
    </row>
    <row r="32" spans="1:59" x14ac:dyDescent="0.25">
      <c r="A32" s="5" t="s">
        <v>136</v>
      </c>
      <c r="B32" s="5">
        <f>B31*B30</f>
        <v>12.7465483234714</v>
      </c>
      <c r="C32" s="5" t="s">
        <v>33</v>
      </c>
      <c r="E32" s="35"/>
      <c r="F32" s="5">
        <f>F31*F20</f>
        <v>0.58441558441558439</v>
      </c>
      <c r="G32" s="11" t="s">
        <v>23</v>
      </c>
      <c r="H32" s="35"/>
      <c r="I32" s="5">
        <f>I31*F20</f>
        <v>1.2987012987012987</v>
      </c>
      <c r="J32" s="5" t="s">
        <v>23</v>
      </c>
      <c r="K32" s="35"/>
      <c r="L32" s="5">
        <f>L31*F20</f>
        <v>1.4285714285714286</v>
      </c>
      <c r="M32" s="5" t="s">
        <v>23</v>
      </c>
      <c r="N32" s="40" t="s">
        <v>230</v>
      </c>
      <c r="P32" s="44"/>
      <c r="Q32" s="5" t="s">
        <v>231</v>
      </c>
      <c r="R32" s="5">
        <f>F12*R31</f>
        <v>1136.8982965086861</v>
      </c>
      <c r="S32" s="5" t="s">
        <v>119</v>
      </c>
      <c r="U32" s="5" t="s">
        <v>82</v>
      </c>
      <c r="V32" s="5">
        <f>V19*V31</f>
        <v>2147.7201333720982</v>
      </c>
      <c r="W32" s="5" t="s">
        <v>232</v>
      </c>
      <c r="Y32" s="5" t="s">
        <v>233</v>
      </c>
      <c r="Z32" s="5">
        <f>(V24*Z31)/V25</f>
        <v>0.23584905660377359</v>
      </c>
      <c r="AA32" s="5" t="s">
        <v>23</v>
      </c>
      <c r="AC32" s="5" t="s">
        <v>234</v>
      </c>
      <c r="AD32" s="5">
        <v>0.2</v>
      </c>
      <c r="AE32" s="5" t="s">
        <v>8</v>
      </c>
      <c r="AG32" s="7"/>
      <c r="AH32" s="5">
        <f>AH31*($B$10/$B$11)</f>
        <v>2.8205128205128212</v>
      </c>
      <c r="AI32" s="5" t="s">
        <v>23</v>
      </c>
      <c r="AJ32" s="41"/>
      <c r="AK32" s="18">
        <f>AK31*AK21</f>
        <v>1.1418269230769231</v>
      </c>
      <c r="AL32" s="18" t="s">
        <v>23</v>
      </c>
      <c r="AQ32" s="5" t="s">
        <v>235</v>
      </c>
      <c r="AR32" s="5">
        <f>AR31*AR22</f>
        <v>2.1997465898992421</v>
      </c>
      <c r="AS32" s="5" t="s">
        <v>21</v>
      </c>
      <c r="AY32" s="5" t="s">
        <v>236</v>
      </c>
      <c r="AZ32" s="5"/>
      <c r="BA32" s="5" t="s">
        <v>23</v>
      </c>
      <c r="BD32" s="18" t="s">
        <v>237</v>
      </c>
      <c r="BE32" s="18">
        <v>80</v>
      </c>
    </row>
    <row r="33" spans="1:59" x14ac:dyDescent="0.25">
      <c r="A33" s="27" t="s">
        <v>238</v>
      </c>
      <c r="B33" s="5"/>
      <c r="C33" s="5"/>
      <c r="E33" s="37" t="s">
        <v>149</v>
      </c>
      <c r="F33" s="5">
        <v>1</v>
      </c>
      <c r="G33" s="11" t="s">
        <v>8</v>
      </c>
      <c r="H33" s="43" t="s">
        <v>239</v>
      </c>
      <c r="I33" s="5">
        <f>(I32-I25)*I27*0.5</f>
        <v>0.10119750379490641</v>
      </c>
      <c r="J33" s="5" t="s">
        <v>33</v>
      </c>
      <c r="K33" s="43" t="s">
        <v>240</v>
      </c>
      <c r="L33" s="5">
        <v>2.2999999999999998</v>
      </c>
      <c r="M33" s="5" t="s">
        <v>8</v>
      </c>
      <c r="N33" s="37" t="s">
        <v>241</v>
      </c>
      <c r="O33" s="5">
        <v>1.9</v>
      </c>
      <c r="P33" s="5" t="s">
        <v>8</v>
      </c>
      <c r="Q33" s="40" t="s">
        <v>242</v>
      </c>
      <c r="S33" s="44"/>
      <c r="U33" s="14" t="s">
        <v>243</v>
      </c>
      <c r="V33" s="14">
        <f>V32*V20</f>
        <v>6228.3883867790846</v>
      </c>
      <c r="W33" s="14" t="s">
        <v>119</v>
      </c>
      <c r="AC33" s="5" t="s">
        <v>244</v>
      </c>
      <c r="AD33" s="5">
        <f>(B10*AD32)/B11</f>
        <v>0.12820512820512822</v>
      </c>
      <c r="AE33" s="5" t="s">
        <v>23</v>
      </c>
      <c r="AG33" s="5" t="s">
        <v>245</v>
      </c>
      <c r="AH33" s="5">
        <f>AH20*AH30</f>
        <v>9.849605522682447</v>
      </c>
      <c r="AI33" s="5" t="s">
        <v>33</v>
      </c>
      <c r="AJ33" s="38" t="s">
        <v>240</v>
      </c>
      <c r="AK33" s="18">
        <v>0.1</v>
      </c>
      <c r="AL33" s="18" t="s">
        <v>8</v>
      </c>
      <c r="AQ33" s="7" t="s">
        <v>246</v>
      </c>
      <c r="AR33" s="7">
        <v>2650</v>
      </c>
      <c r="AS33" s="7" t="s">
        <v>35</v>
      </c>
      <c r="AU33" s="48"/>
      <c r="AY33" s="5" t="s">
        <v>216</v>
      </c>
      <c r="AZ33" s="5">
        <f>AZ32*AZ31</f>
        <v>0</v>
      </c>
      <c r="BA33" s="5" t="s">
        <v>33</v>
      </c>
      <c r="BD33" s="18" t="s">
        <v>247</v>
      </c>
      <c r="BE33" s="18">
        <v>60</v>
      </c>
    </row>
    <row r="34" spans="1:59" x14ac:dyDescent="0.25">
      <c r="A34" s="5" t="s">
        <v>104</v>
      </c>
      <c r="B34" s="5">
        <v>4.8</v>
      </c>
      <c r="C34" s="5" t="s">
        <v>98</v>
      </c>
      <c r="E34" s="35"/>
      <c r="F34" s="5">
        <f>F33*F20</f>
        <v>0.64935064935064934</v>
      </c>
      <c r="G34" s="11" t="s">
        <v>23</v>
      </c>
      <c r="H34" s="43" t="s">
        <v>198</v>
      </c>
      <c r="I34" s="5">
        <v>2</v>
      </c>
      <c r="J34" s="5"/>
      <c r="K34" s="43"/>
      <c r="L34" s="5">
        <f>L33*F20</f>
        <v>1.4935064935064934</v>
      </c>
      <c r="M34" s="5" t="s">
        <v>23</v>
      </c>
      <c r="N34" s="35"/>
      <c r="O34" s="5">
        <f>O33*F20</f>
        <v>1.2337662337662336</v>
      </c>
      <c r="P34" s="5" t="s">
        <v>23</v>
      </c>
      <c r="Q34" s="14" t="s">
        <v>118</v>
      </c>
      <c r="R34" s="5">
        <f>((F50+I68)*2)+O21+R21</f>
        <v>8780</v>
      </c>
      <c r="S34" s="5" t="s">
        <v>119</v>
      </c>
      <c r="Y34" s="5" t="s">
        <v>248</v>
      </c>
      <c r="Z34" s="5">
        <f>Z26*Z30</f>
        <v>0.21804912780348884</v>
      </c>
      <c r="AA34" s="5" t="s">
        <v>33</v>
      </c>
      <c r="AC34" s="5" t="s">
        <v>249</v>
      </c>
      <c r="AD34" s="5">
        <f>ROUND(AD31/((F3+F7)*10^-2),0)</f>
        <v>5</v>
      </c>
      <c r="AE34" s="5" t="s">
        <v>250</v>
      </c>
      <c r="AG34" s="5" t="s">
        <v>198</v>
      </c>
      <c r="AH34" s="5">
        <v>2</v>
      </c>
      <c r="AI34" s="5"/>
      <c r="AJ34" s="41"/>
      <c r="AK34" s="18">
        <f>AK33*AK21</f>
        <v>0.11418269230769232</v>
      </c>
      <c r="AL34" s="18" t="s">
        <v>23</v>
      </c>
      <c r="AQ34" s="20" t="s">
        <v>251</v>
      </c>
      <c r="AR34" s="20">
        <f>AR32*AR33</f>
        <v>5829.3284632329915</v>
      </c>
      <c r="AS34" s="20" t="s">
        <v>119</v>
      </c>
      <c r="AY34" s="5" t="s">
        <v>252</v>
      </c>
      <c r="AZ34" s="5">
        <f>AZ33*AZ26</f>
        <v>0</v>
      </c>
      <c r="BA34" s="5" t="s">
        <v>21</v>
      </c>
      <c r="BD34" s="16" t="s">
        <v>253</v>
      </c>
      <c r="BE34" s="16">
        <v>60</v>
      </c>
      <c r="BF34" s="49">
        <f>$BJ$4/BE34</f>
        <v>2.0833333333333335</v>
      </c>
      <c r="BG34">
        <v>2</v>
      </c>
    </row>
    <row r="35" spans="1:59" x14ac:dyDescent="0.25">
      <c r="A35" s="5" t="s">
        <v>114</v>
      </c>
      <c r="B35" s="5">
        <v>4.7</v>
      </c>
      <c r="C35" s="5" t="s">
        <v>98</v>
      </c>
      <c r="E35" s="5" t="s">
        <v>187</v>
      </c>
      <c r="F35" s="5">
        <f>F32*F34</f>
        <v>0.37949063923089893</v>
      </c>
      <c r="G35" s="11" t="s">
        <v>33</v>
      </c>
      <c r="H35" s="43" t="s">
        <v>254</v>
      </c>
      <c r="I35" s="5">
        <f>I33*I34</f>
        <v>0.20239500758981283</v>
      </c>
      <c r="J35" s="5" t="s">
        <v>33</v>
      </c>
      <c r="K35" s="5" t="s">
        <v>255</v>
      </c>
      <c r="L35" s="5">
        <f>L32*L34</f>
        <v>2.1335807050092765</v>
      </c>
      <c r="M35" s="5" t="s">
        <v>33</v>
      </c>
      <c r="N35" s="37" t="s">
        <v>256</v>
      </c>
      <c r="O35" s="5">
        <v>0.6</v>
      </c>
      <c r="P35" s="5" t="s">
        <v>8</v>
      </c>
      <c r="Q35" s="14" t="s">
        <v>150</v>
      </c>
      <c r="R35" s="5">
        <f>((F53+I71)*2)+O24+R24</f>
        <v>1882.8253439999994</v>
      </c>
      <c r="S35" s="5" t="s">
        <v>119</v>
      </c>
      <c r="U35" s="27" t="s">
        <v>257</v>
      </c>
      <c r="V35" s="5"/>
      <c r="W35" s="5"/>
      <c r="Y35" s="5" t="s">
        <v>258</v>
      </c>
      <c r="Z35" s="5">
        <f>'[1]Typehus O1860'!AL64</f>
        <v>9.5000000000000001E-2</v>
      </c>
      <c r="AA35" s="5" t="s">
        <v>23</v>
      </c>
      <c r="AC35" s="9" t="s">
        <v>259</v>
      </c>
      <c r="AD35" s="9">
        <v>27</v>
      </c>
      <c r="AE35" s="9" t="s">
        <v>260</v>
      </c>
      <c r="AG35" s="5" t="s">
        <v>261</v>
      </c>
      <c r="AH35" s="5">
        <f>AH33*AH34</f>
        <v>19.699211045364894</v>
      </c>
      <c r="AI35" s="5" t="s">
        <v>33</v>
      </c>
      <c r="AJ35" s="38" t="s">
        <v>197</v>
      </c>
      <c r="AK35" s="18">
        <v>3.5</v>
      </c>
      <c r="AL35" s="18" t="s">
        <v>8</v>
      </c>
      <c r="AQ35" s="5" t="s">
        <v>262</v>
      </c>
      <c r="AR35" s="5">
        <f>AR30-AR31</f>
        <v>1.7390242696842595</v>
      </c>
      <c r="AS35" s="5" t="s">
        <v>33</v>
      </c>
      <c r="AY35" s="14" t="s">
        <v>263</v>
      </c>
      <c r="AZ35" s="14">
        <f>AZ34+AZ29</f>
        <v>1.1184217961867193</v>
      </c>
      <c r="BA35" s="5" t="s">
        <v>21</v>
      </c>
      <c r="BD35" s="18" t="s">
        <v>264</v>
      </c>
      <c r="BE35" s="18">
        <v>60</v>
      </c>
    </row>
    <row r="36" spans="1:59" x14ac:dyDescent="0.25">
      <c r="A36" s="5" t="s">
        <v>147</v>
      </c>
      <c r="B36" s="5">
        <f>(B22*B34)/B23</f>
        <v>3.0769230769230771</v>
      </c>
      <c r="C36" s="5" t="s">
        <v>23</v>
      </c>
      <c r="E36" s="5" t="s">
        <v>265</v>
      </c>
      <c r="F36" s="5">
        <f>F34*(F30-F28-F32)*(1/2)</f>
        <v>7.1302074548827782E-2</v>
      </c>
      <c r="G36" s="11" t="s">
        <v>33</v>
      </c>
      <c r="H36" s="37" t="s">
        <v>266</v>
      </c>
      <c r="I36" s="5">
        <v>1.5</v>
      </c>
      <c r="J36" s="5" t="s">
        <v>8</v>
      </c>
      <c r="K36" s="40" t="s">
        <v>267</v>
      </c>
      <c r="M36" s="44"/>
      <c r="N36" s="35"/>
      <c r="O36" s="5">
        <f>O35*F20</f>
        <v>0.38961038961038957</v>
      </c>
      <c r="P36" s="5" t="s">
        <v>23</v>
      </c>
      <c r="Q36" s="14" t="s">
        <v>268</v>
      </c>
      <c r="R36" s="5">
        <f>((F56+I83)*2)+O31+R27</f>
        <v>6.7686894923258567</v>
      </c>
      <c r="S36" s="5" t="s">
        <v>21</v>
      </c>
      <c r="U36" s="5" t="s">
        <v>269</v>
      </c>
      <c r="V36" s="5">
        <v>6</v>
      </c>
      <c r="W36" s="5" t="s">
        <v>270</v>
      </c>
      <c r="Y36" s="5" t="s">
        <v>271</v>
      </c>
      <c r="Z36" s="5">
        <v>9</v>
      </c>
      <c r="AA36" s="5"/>
      <c r="AC36" s="5" t="s">
        <v>272</v>
      </c>
      <c r="AD36" s="5">
        <f>ROUND(AD29/((F3+F7)*10^-2),0)</f>
        <v>6</v>
      </c>
      <c r="AE36" s="5" t="s">
        <v>250</v>
      </c>
      <c r="AG36" s="5" t="s">
        <v>273</v>
      </c>
      <c r="AH36" s="5">
        <f>AH22*AH30</f>
        <v>23.890532544378701</v>
      </c>
      <c r="AI36" s="5" t="s">
        <v>33</v>
      </c>
      <c r="AJ36" s="41"/>
      <c r="AK36" s="18">
        <f>AK35*AK21</f>
        <v>3.9963942307692308</v>
      </c>
      <c r="AL36" s="18" t="s">
        <v>23</v>
      </c>
      <c r="AQ36" s="5" t="s">
        <v>274</v>
      </c>
      <c r="AR36" s="5">
        <f>AR35*AR22</f>
        <v>0.52170728090527785</v>
      </c>
      <c r="AS36" s="5" t="s">
        <v>21</v>
      </c>
      <c r="BD36" s="16" t="s">
        <v>275</v>
      </c>
      <c r="BE36" s="16">
        <v>50</v>
      </c>
      <c r="BF36" s="49">
        <f>$BJ$4/BE36</f>
        <v>2.5</v>
      </c>
      <c r="BG36">
        <v>2</v>
      </c>
    </row>
    <row r="37" spans="1:59" x14ac:dyDescent="0.25">
      <c r="A37" s="5" t="s">
        <v>158</v>
      </c>
      <c r="B37" s="5">
        <f>(B22*B35)/B23</f>
        <v>3.0128205128205128</v>
      </c>
      <c r="C37" s="5" t="s">
        <v>23</v>
      </c>
      <c r="E37" s="5" t="s">
        <v>198</v>
      </c>
      <c r="F37" s="5">
        <v>4</v>
      </c>
      <c r="G37" s="11"/>
      <c r="H37" s="35"/>
      <c r="I37" s="5">
        <f>I36*F20</f>
        <v>0.97402597402597402</v>
      </c>
      <c r="J37" s="5" t="s">
        <v>23</v>
      </c>
      <c r="K37" s="37" t="s">
        <v>241</v>
      </c>
      <c r="L37" s="5">
        <v>2.1</v>
      </c>
      <c r="M37" s="5" t="s">
        <v>8</v>
      </c>
      <c r="N37" s="43" t="s">
        <v>136</v>
      </c>
      <c r="O37" s="5">
        <f>O34*O36</f>
        <v>0.48068814302580526</v>
      </c>
      <c r="P37" s="5" t="s">
        <v>33</v>
      </c>
      <c r="Q37" s="5" t="s">
        <v>276</v>
      </c>
      <c r="R37" s="5">
        <f>I79+O26+O47+O53</f>
        <v>4.5960532973519976</v>
      </c>
      <c r="S37" s="5" t="s">
        <v>33</v>
      </c>
      <c r="U37" s="5" t="s">
        <v>277</v>
      </c>
      <c r="V37" s="5">
        <f>V28</f>
        <v>9.055252454217495</v>
      </c>
      <c r="W37" s="5" t="s">
        <v>23</v>
      </c>
      <c r="Y37" s="20" t="s">
        <v>278</v>
      </c>
      <c r="Z37" s="20">
        <f>(Z35*Z34)*Z36</f>
        <v>0.18643200427198295</v>
      </c>
      <c r="AA37" s="20" t="s">
        <v>21</v>
      </c>
      <c r="AC37" s="27" t="s">
        <v>279</v>
      </c>
      <c r="AD37" s="5"/>
      <c r="AE37" s="5"/>
      <c r="AG37" s="5" t="s">
        <v>198</v>
      </c>
      <c r="AH37" s="5">
        <v>2</v>
      </c>
      <c r="AI37" s="5"/>
      <c r="AJ37" s="39" t="s">
        <v>280</v>
      </c>
      <c r="AK37" s="18">
        <f>AK22+AK24+AK26+AK28+AK30+AK32+AK30+AK34+AK36</f>
        <v>30.94350961538462</v>
      </c>
      <c r="AL37" s="18" t="s">
        <v>23</v>
      </c>
      <c r="AQ37" s="14" t="s">
        <v>281</v>
      </c>
      <c r="AR37" s="14">
        <f>AR36*F12</f>
        <v>886.90237753897236</v>
      </c>
      <c r="AS37" s="14" t="s">
        <v>119</v>
      </c>
      <c r="BD37" s="18" t="s">
        <v>282</v>
      </c>
      <c r="BE37" s="18">
        <v>30</v>
      </c>
    </row>
    <row r="38" spans="1:59" x14ac:dyDescent="0.25">
      <c r="A38" s="5" t="s">
        <v>136</v>
      </c>
      <c r="B38" s="5">
        <f>B37*B36</f>
        <v>9.2702169625246551</v>
      </c>
      <c r="C38" s="5" t="s">
        <v>33</v>
      </c>
      <c r="E38" s="5" t="s">
        <v>283</v>
      </c>
      <c r="F38" s="5">
        <f>F36*F37</f>
        <v>0.28520829819531113</v>
      </c>
      <c r="G38" s="11" t="s">
        <v>33</v>
      </c>
      <c r="H38" s="37" t="s">
        <v>284</v>
      </c>
      <c r="I38" s="5">
        <v>1.2</v>
      </c>
      <c r="J38" s="5" t="s">
        <v>8</v>
      </c>
      <c r="K38" s="35"/>
      <c r="L38" s="5">
        <f>L37*F20</f>
        <v>1.3636363636363638</v>
      </c>
      <c r="M38" s="5" t="s">
        <v>23</v>
      </c>
      <c r="N38" s="37" t="s">
        <v>285</v>
      </c>
      <c r="O38" s="5">
        <v>1.2</v>
      </c>
      <c r="P38" s="5" t="s">
        <v>8</v>
      </c>
      <c r="Q38" s="43" t="s">
        <v>286</v>
      </c>
      <c r="R38">
        <f>R37*J7</f>
        <v>1.8384213189407989E-2</v>
      </c>
      <c r="S38" s="44" t="s">
        <v>21</v>
      </c>
      <c r="U38" s="27" t="s">
        <v>287</v>
      </c>
      <c r="V38" s="5"/>
      <c r="W38" s="5"/>
      <c r="Y38" s="5" t="s">
        <v>288</v>
      </c>
      <c r="Z38" s="5"/>
      <c r="AA38" s="5"/>
      <c r="AC38" s="5" t="s">
        <v>289</v>
      </c>
      <c r="AD38" s="5">
        <v>9</v>
      </c>
      <c r="AE38" s="5" t="s">
        <v>260</v>
      </c>
      <c r="AG38" s="5" t="s">
        <v>290</v>
      </c>
      <c r="AH38" s="5">
        <f>AH37*AH36</f>
        <v>47.781065088757401</v>
      </c>
      <c r="AI38" s="5" t="s">
        <v>33</v>
      </c>
      <c r="AJ38" s="38" t="s">
        <v>291</v>
      </c>
      <c r="AK38" s="18">
        <v>0.6</v>
      </c>
      <c r="AL38" s="18" t="s">
        <v>8</v>
      </c>
      <c r="AQ38" s="27" t="s">
        <v>292</v>
      </c>
      <c r="AR38" s="5"/>
      <c r="AS38" s="5"/>
      <c r="BD38" s="18" t="s">
        <v>293</v>
      </c>
      <c r="BE38" s="18">
        <v>50</v>
      </c>
    </row>
    <row r="39" spans="1:59" x14ac:dyDescent="0.25">
      <c r="A39" s="27" t="s">
        <v>294</v>
      </c>
      <c r="B39" s="5"/>
      <c r="C39" s="5"/>
      <c r="E39" s="37" t="s">
        <v>203</v>
      </c>
      <c r="F39" s="5">
        <v>2.5</v>
      </c>
      <c r="G39" s="11" t="s">
        <v>8</v>
      </c>
      <c r="H39" s="35"/>
      <c r="I39" s="5">
        <f>I38*F20</f>
        <v>0.77922077922077915</v>
      </c>
      <c r="J39" s="5" t="s">
        <v>23</v>
      </c>
      <c r="K39" s="37" t="s">
        <v>256</v>
      </c>
      <c r="L39" s="5">
        <v>1.6</v>
      </c>
      <c r="M39" s="5" t="s">
        <v>8</v>
      </c>
      <c r="N39" s="35"/>
      <c r="O39" s="5">
        <f>O38*F20</f>
        <v>0.77922077922077915</v>
      </c>
      <c r="P39" s="5" t="s">
        <v>23</v>
      </c>
      <c r="Q39" s="50" t="s">
        <v>295</v>
      </c>
      <c r="R39">
        <f>R38*J8</f>
        <v>47.798954292460763</v>
      </c>
      <c r="S39" s="44" t="s">
        <v>119</v>
      </c>
      <c r="U39" s="5" t="s">
        <v>14</v>
      </c>
      <c r="V39" s="5">
        <v>0.17</v>
      </c>
      <c r="W39" s="5" t="s">
        <v>23</v>
      </c>
      <c r="Y39" s="9" t="s">
        <v>296</v>
      </c>
      <c r="Z39" s="9">
        <v>1</v>
      </c>
      <c r="AA39" s="9" t="s">
        <v>8</v>
      </c>
      <c r="AC39" s="51" t="s">
        <v>297</v>
      </c>
      <c r="AD39" s="51">
        <f>AD38*AD36</f>
        <v>54</v>
      </c>
      <c r="AE39" s="51" t="s">
        <v>250</v>
      </c>
      <c r="AG39" s="5" t="s">
        <v>298</v>
      </c>
      <c r="AH39" s="5">
        <f>AH38+AH35</f>
        <v>67.480276134122292</v>
      </c>
      <c r="AI39" s="5" t="s">
        <v>33</v>
      </c>
      <c r="AJ39" s="41"/>
      <c r="AK39" s="18">
        <f>AK38*AK21</f>
        <v>0.68509615384615385</v>
      </c>
      <c r="AL39" s="18" t="s">
        <v>23</v>
      </c>
      <c r="AQ39" s="5" t="s">
        <v>299</v>
      </c>
      <c r="AR39" s="5">
        <v>0.4</v>
      </c>
      <c r="AS39" s="5" t="s">
        <v>8</v>
      </c>
      <c r="BD39" s="18" t="s">
        <v>300</v>
      </c>
      <c r="BE39" s="18">
        <v>100</v>
      </c>
    </row>
    <row r="40" spans="1:59" x14ac:dyDescent="0.25">
      <c r="A40" s="5" t="s">
        <v>104</v>
      </c>
      <c r="B40" s="5">
        <v>4.4000000000000004</v>
      </c>
      <c r="C40" s="5" t="s">
        <v>98</v>
      </c>
      <c r="E40" s="35"/>
      <c r="F40" s="5">
        <f>F39*F20</f>
        <v>1.6233766233766234</v>
      </c>
      <c r="G40" s="11" t="s">
        <v>23</v>
      </c>
      <c r="H40" s="43" t="s">
        <v>301</v>
      </c>
      <c r="I40" s="5">
        <f>I37*I39*0.5</f>
        <v>0.37949063923089893</v>
      </c>
      <c r="J40" s="5" t="s">
        <v>33</v>
      </c>
      <c r="K40" s="35"/>
      <c r="L40" s="5">
        <f>L39*F20</f>
        <v>1.0389610389610391</v>
      </c>
      <c r="M40" s="5" t="s">
        <v>23</v>
      </c>
      <c r="N40" s="43" t="s">
        <v>136</v>
      </c>
      <c r="O40" s="5">
        <f>O39*O36</f>
        <v>0.3035925113847191</v>
      </c>
      <c r="P40" s="5" t="s">
        <v>33</v>
      </c>
      <c r="Q40" s="5" t="s">
        <v>302</v>
      </c>
      <c r="R40" s="5">
        <f>I80+O27+O54+O48</f>
        <v>3.6431101366166314</v>
      </c>
      <c r="S40" s="5" t="s">
        <v>33</v>
      </c>
      <c r="U40" s="5" t="s">
        <v>303</v>
      </c>
      <c r="V40" s="5">
        <v>0.17</v>
      </c>
      <c r="W40" s="5" t="s">
        <v>23</v>
      </c>
      <c r="Y40" s="5" t="s">
        <v>304</v>
      </c>
      <c r="Z40" s="5">
        <v>1.1000000000000001</v>
      </c>
      <c r="AA40" s="5" t="s">
        <v>8</v>
      </c>
      <c r="AC40" s="5" t="s">
        <v>305</v>
      </c>
      <c r="AD40" s="5">
        <v>36</v>
      </c>
      <c r="AE40" s="5" t="s">
        <v>250</v>
      </c>
      <c r="AG40" s="5" t="s">
        <v>306</v>
      </c>
      <c r="AH40" s="5">
        <f>AH24*AH32</f>
        <v>1.9888231426692975</v>
      </c>
      <c r="AI40" s="5" t="s">
        <v>33</v>
      </c>
      <c r="AJ40" s="38" t="s">
        <v>307</v>
      </c>
      <c r="AK40" s="18">
        <v>0.8</v>
      </c>
      <c r="AL40" s="18" t="s">
        <v>8</v>
      </c>
      <c r="AQ40" s="5" t="s">
        <v>308</v>
      </c>
      <c r="AR40" s="5">
        <f>((F18*AR39)/F19)+AR17</f>
        <v>0.50974025974025972</v>
      </c>
      <c r="AS40" s="5" t="s">
        <v>23</v>
      </c>
      <c r="AU40" s="14" t="s">
        <v>309</v>
      </c>
      <c r="AV40" s="5"/>
      <c r="AW40" s="5"/>
      <c r="BD40" s="23" t="s">
        <v>310</v>
      </c>
      <c r="BE40" s="23">
        <v>120</v>
      </c>
      <c r="BF40" s="24">
        <f>$BJ$4/BE40</f>
        <v>1.0416666666666667</v>
      </c>
    </row>
    <row r="41" spans="1:59" x14ac:dyDescent="0.25">
      <c r="A41" s="5" t="s">
        <v>114</v>
      </c>
      <c r="B41" s="5">
        <v>2.2000000000000002</v>
      </c>
      <c r="C41" s="5" t="s">
        <v>98</v>
      </c>
      <c r="E41" s="5" t="s">
        <v>311</v>
      </c>
      <c r="F41" s="5">
        <f>F40*F32</f>
        <v>0.94872659807724735</v>
      </c>
      <c r="G41" s="11" t="s">
        <v>33</v>
      </c>
      <c r="H41" s="43" t="s">
        <v>312</v>
      </c>
      <c r="I41" s="5">
        <v>2</v>
      </c>
      <c r="J41" s="5"/>
      <c r="K41" s="43" t="s">
        <v>313</v>
      </c>
      <c r="L41" s="5">
        <f>L38*L40</f>
        <v>1.4167650531286897</v>
      </c>
      <c r="M41" s="5" t="s">
        <v>33</v>
      </c>
      <c r="N41" s="37" t="s">
        <v>314</v>
      </c>
      <c r="O41" s="5">
        <v>0.6</v>
      </c>
      <c r="P41" s="5" t="s">
        <v>8</v>
      </c>
      <c r="Q41" s="50" t="s">
        <v>315</v>
      </c>
      <c r="R41">
        <f>R40*J9</f>
        <v>7.2862202732332626E-2</v>
      </c>
      <c r="S41" s="44" t="s">
        <v>21</v>
      </c>
      <c r="U41" s="5" t="s">
        <v>316</v>
      </c>
      <c r="V41" s="5">
        <f>V40*V39*V37</f>
        <v>0.26169679592688566</v>
      </c>
      <c r="W41" s="5" t="s">
        <v>21</v>
      </c>
      <c r="Y41" s="5" t="s">
        <v>317</v>
      </c>
      <c r="Z41" s="5">
        <f>(B10*Z39)/B11</f>
        <v>0.64102564102564108</v>
      </c>
      <c r="AA41" s="5" t="s">
        <v>23</v>
      </c>
      <c r="AC41" s="52" t="s">
        <v>318</v>
      </c>
      <c r="AD41" s="52">
        <f>AD40*AD38</f>
        <v>324</v>
      </c>
      <c r="AE41" s="52" t="s">
        <v>250</v>
      </c>
      <c r="AG41" s="5" t="s">
        <v>198</v>
      </c>
      <c r="AH41" s="5">
        <v>2</v>
      </c>
      <c r="AI41" s="5"/>
      <c r="AJ41" s="41"/>
      <c r="AK41" s="18">
        <f>AK40*AK21</f>
        <v>0.91346153846153855</v>
      </c>
      <c r="AL41" s="18" t="s">
        <v>23</v>
      </c>
      <c r="AQ41" s="5" t="s">
        <v>319</v>
      </c>
      <c r="AR41" s="5">
        <v>0.6</v>
      </c>
      <c r="AS41" s="5" t="s">
        <v>8</v>
      </c>
      <c r="AU41" s="5" t="s">
        <v>320</v>
      </c>
      <c r="AV41" s="5">
        <v>6.6</v>
      </c>
      <c r="AW41" s="5" t="s">
        <v>8</v>
      </c>
      <c r="BD41" s="18" t="s">
        <v>321</v>
      </c>
      <c r="BE41" s="18">
        <v>80</v>
      </c>
    </row>
    <row r="42" spans="1:59" x14ac:dyDescent="0.25">
      <c r="A42" s="5" t="s">
        <v>147</v>
      </c>
      <c r="B42" s="5">
        <f>(B22*B40)/B23</f>
        <v>2.8205128205128207</v>
      </c>
      <c r="C42" s="5" t="s">
        <v>23</v>
      </c>
      <c r="E42" s="5" t="s">
        <v>198</v>
      </c>
      <c r="F42" s="5">
        <v>10</v>
      </c>
      <c r="G42" s="11"/>
      <c r="H42" s="43" t="s">
        <v>322</v>
      </c>
      <c r="I42" s="5">
        <f>I40*I41</f>
        <v>0.75898127846179786</v>
      </c>
      <c r="J42" s="5" t="s">
        <v>33</v>
      </c>
      <c r="K42" s="37" t="s">
        <v>314</v>
      </c>
      <c r="L42" s="5">
        <v>0.5</v>
      </c>
      <c r="M42" s="5" t="s">
        <v>8</v>
      </c>
      <c r="N42" s="35"/>
      <c r="O42" s="5">
        <f>O41*F20</f>
        <v>0.38961038961038957</v>
      </c>
      <c r="P42" s="5" t="s">
        <v>23</v>
      </c>
      <c r="Q42" s="14" t="s">
        <v>188</v>
      </c>
      <c r="R42" s="5">
        <f>L65+O59</f>
        <v>4.9795918367346941</v>
      </c>
      <c r="S42" s="5" t="s">
        <v>33</v>
      </c>
      <c r="U42" s="14" t="s">
        <v>323</v>
      </c>
      <c r="V42" s="14">
        <f>V41*12</f>
        <v>3.1403615511226279</v>
      </c>
      <c r="W42" s="14" t="s">
        <v>21</v>
      </c>
      <c r="Y42" s="5" t="s">
        <v>324</v>
      </c>
      <c r="Z42" s="5">
        <f>(B10*Z40)/B11</f>
        <v>0.70512820512820518</v>
      </c>
      <c r="AA42" s="5" t="s">
        <v>23</v>
      </c>
      <c r="AC42" s="27" t="s">
        <v>325</v>
      </c>
      <c r="AD42" s="5"/>
      <c r="AE42" s="5"/>
      <c r="AG42" s="5" t="s">
        <v>326</v>
      </c>
      <c r="AH42" s="5">
        <f>AH40*AH41</f>
        <v>3.977646285338595</v>
      </c>
      <c r="AI42" s="5" t="s">
        <v>33</v>
      </c>
      <c r="AJ42" s="38" t="s">
        <v>327</v>
      </c>
      <c r="AK42" s="18">
        <v>3.8</v>
      </c>
      <c r="AL42" s="18" t="s">
        <v>8</v>
      </c>
      <c r="AQ42" s="5" t="s">
        <v>328</v>
      </c>
      <c r="AR42" s="5">
        <f>((F18*AR41)/F19)+AR17</f>
        <v>0.63961038961038963</v>
      </c>
      <c r="AS42" s="5" t="s">
        <v>23</v>
      </c>
      <c r="AU42" s="14" t="s">
        <v>147</v>
      </c>
      <c r="AV42" s="5">
        <v>4</v>
      </c>
      <c r="AW42" s="5" t="s">
        <v>111</v>
      </c>
      <c r="BD42" s="16" t="s">
        <v>329</v>
      </c>
      <c r="BE42" s="16">
        <v>80</v>
      </c>
      <c r="BF42" s="49">
        <f>$BJ$4/BE42</f>
        <v>1.5625</v>
      </c>
      <c r="BG42">
        <v>1</v>
      </c>
    </row>
    <row r="43" spans="1:59" x14ac:dyDescent="0.25">
      <c r="A43" s="5" t="s">
        <v>158</v>
      </c>
      <c r="B43" s="5">
        <f>(B22*B41)/B23</f>
        <v>1.4102564102564104</v>
      </c>
      <c r="C43" s="5" t="s">
        <v>23</v>
      </c>
      <c r="E43" s="5" t="s">
        <v>330</v>
      </c>
      <c r="F43" s="5">
        <f>F41*F42</f>
        <v>9.4872659807724737</v>
      </c>
      <c r="G43" s="11" t="s">
        <v>33</v>
      </c>
      <c r="H43" s="37" t="s">
        <v>331</v>
      </c>
      <c r="I43" s="5">
        <v>1.9</v>
      </c>
      <c r="J43" s="5" t="s">
        <v>8</v>
      </c>
      <c r="K43" s="35"/>
      <c r="L43" s="5">
        <f>L42*F20</f>
        <v>0.32467532467532467</v>
      </c>
      <c r="M43" s="5" t="s">
        <v>23</v>
      </c>
      <c r="N43" s="37" t="s">
        <v>332</v>
      </c>
      <c r="O43" s="5">
        <v>0.5</v>
      </c>
      <c r="P43" s="5" t="s">
        <v>8</v>
      </c>
      <c r="Q43" s="50" t="s">
        <v>333</v>
      </c>
      <c r="R43">
        <f>R42*J6</f>
        <v>0.19918367346938776</v>
      </c>
      <c r="S43" t="s">
        <v>21</v>
      </c>
      <c r="Y43" s="20" t="s">
        <v>334</v>
      </c>
      <c r="Z43" s="20">
        <f>Z42*Z41*Z35</f>
        <v>4.2940499671268909E-2</v>
      </c>
      <c r="AA43" s="20" t="s">
        <v>21</v>
      </c>
      <c r="AC43" s="5" t="s">
        <v>335</v>
      </c>
      <c r="AD43" s="5">
        <v>36</v>
      </c>
      <c r="AE43" s="5" t="s">
        <v>250</v>
      </c>
      <c r="AG43" s="5" t="s">
        <v>336</v>
      </c>
      <c r="AH43" s="5">
        <f>AH26*AH32</f>
        <v>2.7120315581854055</v>
      </c>
      <c r="AI43" s="5" t="s">
        <v>33</v>
      </c>
      <c r="AJ43" s="41"/>
      <c r="AK43" s="18">
        <f>AK42*(B10/B11)</f>
        <v>2.4358974358974361</v>
      </c>
      <c r="AL43" s="18" t="s">
        <v>23</v>
      </c>
      <c r="AQ43" s="5" t="s">
        <v>337</v>
      </c>
      <c r="AR43" s="5">
        <f>((AR40+AR42)/2)*L22</f>
        <v>4.6272558610220953</v>
      </c>
      <c r="AS43" s="5" t="s">
        <v>33</v>
      </c>
      <c r="AU43" s="5" t="s">
        <v>338</v>
      </c>
      <c r="AV43" s="5"/>
      <c r="AW43" s="5"/>
      <c r="BD43" s="16" t="s">
        <v>339</v>
      </c>
      <c r="BE43" s="16">
        <v>50</v>
      </c>
      <c r="BF43" s="49">
        <f>$BJ$4/BE43</f>
        <v>2.5</v>
      </c>
      <c r="BG43">
        <v>2</v>
      </c>
    </row>
    <row r="44" spans="1:59" x14ac:dyDescent="0.25">
      <c r="A44" s="5" t="s">
        <v>136</v>
      </c>
      <c r="B44" s="5">
        <f>B43*B42</f>
        <v>3.9776462853385937</v>
      </c>
      <c r="C44" s="5" t="s">
        <v>33</v>
      </c>
      <c r="E44" s="5" t="s">
        <v>340</v>
      </c>
      <c r="F44" s="5">
        <f>F35</f>
        <v>0.37949063923089893</v>
      </c>
      <c r="G44" s="11" t="s">
        <v>33</v>
      </c>
      <c r="H44" s="35"/>
      <c r="I44" s="5">
        <f>I43*F20</f>
        <v>1.2337662337662336</v>
      </c>
      <c r="J44" s="5" t="s">
        <v>23</v>
      </c>
      <c r="K44" s="37" t="s">
        <v>332</v>
      </c>
      <c r="L44" s="5">
        <v>0.6</v>
      </c>
      <c r="M44" s="5" t="s">
        <v>8</v>
      </c>
      <c r="N44" s="35"/>
      <c r="O44" s="5">
        <f>O43*F20</f>
        <v>0.32467532467532467</v>
      </c>
      <c r="P44" s="5" t="s">
        <v>23</v>
      </c>
      <c r="U44" s="27" t="s">
        <v>341</v>
      </c>
      <c r="V44" s="5"/>
      <c r="W44" s="5"/>
      <c r="Y44" s="27" t="s">
        <v>342</v>
      </c>
      <c r="Z44" s="5"/>
      <c r="AA44" s="5"/>
      <c r="AC44" s="5" t="s">
        <v>343</v>
      </c>
      <c r="AD44" s="5">
        <f>AD34</f>
        <v>5</v>
      </c>
      <c r="AE44" s="5" t="s">
        <v>250</v>
      </c>
      <c r="AG44" s="5" t="s">
        <v>344</v>
      </c>
      <c r="AH44" s="5">
        <f>AH28*AH32</f>
        <v>2.3504273504273514</v>
      </c>
      <c r="AI44" s="5" t="s">
        <v>33</v>
      </c>
      <c r="AJ44" s="53" t="s">
        <v>345</v>
      </c>
      <c r="AK44" s="18">
        <f>AK43*(AH32/AH30)</f>
        <v>2.1015585721468084</v>
      </c>
      <c r="AL44" s="18" t="s">
        <v>23</v>
      </c>
      <c r="AQ44" s="5" t="s">
        <v>225</v>
      </c>
      <c r="AR44" s="5">
        <f>AR43*AR24</f>
        <v>3.7402031355635534</v>
      </c>
      <c r="AS44" s="5" t="s">
        <v>33</v>
      </c>
      <c r="AU44" s="5" t="s">
        <v>93</v>
      </c>
      <c r="AV44" s="5">
        <v>1.3</v>
      </c>
      <c r="AW44" s="5" t="s">
        <v>8</v>
      </c>
      <c r="BD44" s="16" t="s">
        <v>346</v>
      </c>
      <c r="BE44" s="16">
        <v>50</v>
      </c>
      <c r="BF44" s="49">
        <f>$BJ$4/BE44</f>
        <v>2.5</v>
      </c>
      <c r="BG44">
        <v>2</v>
      </c>
    </row>
    <row r="45" spans="1:59" x14ac:dyDescent="0.25">
      <c r="A45" s="5" t="s">
        <v>347</v>
      </c>
      <c r="B45" s="5">
        <f>B44+B38+B32+B26+B32+B38</f>
        <v>50.452005259697572</v>
      </c>
      <c r="C45" s="5" t="s">
        <v>33</v>
      </c>
      <c r="E45" s="5" t="s">
        <v>198</v>
      </c>
      <c r="F45" s="5">
        <v>8</v>
      </c>
      <c r="G45" s="11"/>
      <c r="H45" s="43" t="s">
        <v>348</v>
      </c>
      <c r="I45" s="5">
        <f>I44*F32</f>
        <v>0.72103221453870792</v>
      </c>
      <c r="J45" s="5" t="s">
        <v>33</v>
      </c>
      <c r="K45" s="35"/>
      <c r="L45" s="5">
        <f>L44*F20</f>
        <v>0.38961038961038957</v>
      </c>
      <c r="M45" s="5" t="s">
        <v>23</v>
      </c>
      <c r="N45" s="5" t="s">
        <v>136</v>
      </c>
      <c r="O45" s="5">
        <f>O42*O44</f>
        <v>0.12649687974363297</v>
      </c>
      <c r="P45" s="5" t="s">
        <v>33</v>
      </c>
      <c r="U45" s="5" t="s">
        <v>269</v>
      </c>
      <c r="V45" s="5">
        <v>4</v>
      </c>
      <c r="W45" s="5" t="s">
        <v>349</v>
      </c>
      <c r="Y45" s="5" t="s">
        <v>350</v>
      </c>
      <c r="Z45" s="5"/>
      <c r="AA45" s="5"/>
      <c r="AC45" s="5" t="s">
        <v>351</v>
      </c>
      <c r="AD45" s="5">
        <f>AD44*AD43</f>
        <v>180</v>
      </c>
      <c r="AE45" s="5" t="s">
        <v>250</v>
      </c>
      <c r="AG45" s="5" t="s">
        <v>198</v>
      </c>
      <c r="AH45" s="5">
        <v>2</v>
      </c>
      <c r="AI45" s="5"/>
      <c r="AJ45" s="53" t="s">
        <v>352</v>
      </c>
      <c r="AK45" s="18">
        <f>AK37*AK43</f>
        <v>75.375215729783051</v>
      </c>
      <c r="AL45" s="18" t="s">
        <v>33</v>
      </c>
      <c r="AQ45" s="5" t="s">
        <v>353</v>
      </c>
      <c r="AR45" s="5">
        <f>AR44*AR22</f>
        <v>1.122060940669066</v>
      </c>
      <c r="AS45" s="5" t="s">
        <v>21</v>
      </c>
      <c r="AU45" s="5" t="s">
        <v>354</v>
      </c>
      <c r="AV45" s="5">
        <f>(AV44*AV42)/AV41</f>
        <v>0.78787878787878796</v>
      </c>
      <c r="AW45" s="5" t="s">
        <v>23</v>
      </c>
      <c r="BD45" s="18" t="s">
        <v>355</v>
      </c>
      <c r="BE45" s="18">
        <v>80</v>
      </c>
    </row>
    <row r="46" spans="1:59" x14ac:dyDescent="0.25">
      <c r="A46" s="5" t="s">
        <v>356</v>
      </c>
      <c r="B46" s="5">
        <f>B45</f>
        <v>50.452005259697572</v>
      </c>
      <c r="C46" s="5" t="s">
        <v>33</v>
      </c>
      <c r="E46" s="5" t="s">
        <v>357</v>
      </c>
      <c r="F46" s="5">
        <f>F44*F45</f>
        <v>3.0359251138471914</v>
      </c>
      <c r="G46" s="11" t="s">
        <v>33</v>
      </c>
      <c r="H46" s="43" t="s">
        <v>198</v>
      </c>
      <c r="I46" s="5">
        <v>4</v>
      </c>
      <c r="J46" s="5"/>
      <c r="K46" s="5" t="s">
        <v>311</v>
      </c>
      <c r="L46" s="5">
        <f>L45*L43</f>
        <v>0.12649687974363297</v>
      </c>
      <c r="M46" s="5" t="s">
        <v>33</v>
      </c>
      <c r="N46" s="5" t="s">
        <v>198</v>
      </c>
      <c r="O46" s="5">
        <v>3</v>
      </c>
      <c r="P46" s="5"/>
      <c r="U46" s="5" t="s">
        <v>104</v>
      </c>
      <c r="V46" s="5">
        <v>9.4</v>
      </c>
      <c r="W46" s="5" t="s">
        <v>8</v>
      </c>
      <c r="Y46" s="5" t="s">
        <v>358</v>
      </c>
      <c r="Z46" s="5">
        <f>Z42</f>
        <v>0.70512820512820518</v>
      </c>
      <c r="AA46" s="5" t="s">
        <v>23</v>
      </c>
      <c r="AC46" s="5" t="s">
        <v>359</v>
      </c>
      <c r="AD46" s="5">
        <f>AD45</f>
        <v>180</v>
      </c>
      <c r="AE46" s="5" t="s">
        <v>250</v>
      </c>
      <c r="AG46" s="5" t="s">
        <v>360</v>
      </c>
      <c r="AH46" s="5">
        <f>AH44*AH45</f>
        <v>4.7008547008547028</v>
      </c>
      <c r="AI46" s="5" t="s">
        <v>33</v>
      </c>
      <c r="AJ46" s="53" t="s">
        <v>361</v>
      </c>
      <c r="AK46" s="18">
        <f>(AK39+AK41)*AK44</f>
        <v>3.3594626213404513</v>
      </c>
      <c r="AL46" s="18" t="s">
        <v>33</v>
      </c>
      <c r="AQ46" s="14" t="s">
        <v>251</v>
      </c>
      <c r="AR46" s="14">
        <f>AR45*AR33</f>
        <v>2973.4614927730249</v>
      </c>
      <c r="AS46" s="14" t="s">
        <v>119</v>
      </c>
      <c r="AU46" s="5" t="s">
        <v>117</v>
      </c>
      <c r="AV46" s="5">
        <v>1.4</v>
      </c>
      <c r="AW46" s="5" t="s">
        <v>98</v>
      </c>
      <c r="BD46" s="18" t="s">
        <v>362</v>
      </c>
      <c r="BE46" s="18">
        <v>50</v>
      </c>
    </row>
    <row r="47" spans="1:59" x14ac:dyDescent="0.25">
      <c r="E47" s="5" t="s">
        <v>363</v>
      </c>
      <c r="F47" s="5"/>
      <c r="G47" s="11"/>
      <c r="H47" s="43" t="s">
        <v>364</v>
      </c>
      <c r="I47" s="5">
        <f>I45*I46</f>
        <v>2.8841288581548317</v>
      </c>
      <c r="J47" s="5" t="s">
        <v>33</v>
      </c>
      <c r="K47" s="5" t="s">
        <v>198</v>
      </c>
      <c r="L47" s="5">
        <v>6</v>
      </c>
      <c r="M47" s="5"/>
      <c r="N47" s="5" t="s">
        <v>276</v>
      </c>
      <c r="O47" s="5">
        <f>O45*O46</f>
        <v>0.37949063923089887</v>
      </c>
      <c r="P47" s="5" t="s">
        <v>33</v>
      </c>
      <c r="U47" s="5" t="s">
        <v>147</v>
      </c>
      <c r="V47" s="5">
        <f>(5*V46)/10.6</f>
        <v>4.433962264150944</v>
      </c>
      <c r="W47" s="5" t="s">
        <v>23</v>
      </c>
      <c r="Y47" s="5" t="s">
        <v>365</v>
      </c>
      <c r="Z47" s="5">
        <f>Z22</f>
        <v>1.3207547169811322</v>
      </c>
      <c r="AA47" s="5" t="s">
        <v>23</v>
      </c>
      <c r="AC47" s="20" t="s">
        <v>366</v>
      </c>
      <c r="AD47" s="20">
        <f>AD46+AD45+AD41+AD39</f>
        <v>738</v>
      </c>
      <c r="AE47" s="20" t="s">
        <v>250</v>
      </c>
      <c r="AG47" s="14" t="s">
        <v>367</v>
      </c>
      <c r="AH47" s="5">
        <f>AH42+AH43+AH46</f>
        <v>11.390532544378704</v>
      </c>
      <c r="AI47" s="5" t="s">
        <v>33</v>
      </c>
      <c r="AJ47" s="53" t="s">
        <v>368</v>
      </c>
      <c r="AK47" s="18">
        <f>AK45-AK46</f>
        <v>72.015753108442595</v>
      </c>
      <c r="AL47" s="18" t="s">
        <v>33</v>
      </c>
      <c r="AQ47" s="5" t="s">
        <v>262</v>
      </c>
      <c r="AR47" s="5">
        <f>AR43-AR44</f>
        <v>0.88705272545854186</v>
      </c>
      <c r="AS47" s="5" t="s">
        <v>33</v>
      </c>
      <c r="AU47" s="5" t="s">
        <v>369</v>
      </c>
      <c r="AV47" s="5">
        <f>(AV42*AV46)/AV41</f>
        <v>0.84848484848484851</v>
      </c>
      <c r="AW47" s="5" t="s">
        <v>23</v>
      </c>
      <c r="BD47" s="16" t="s">
        <v>370</v>
      </c>
      <c r="BE47" s="16">
        <v>80</v>
      </c>
      <c r="BF47" s="49">
        <f>$BJ$4/BE47</f>
        <v>1.5625</v>
      </c>
      <c r="BG47">
        <v>1</v>
      </c>
    </row>
    <row r="48" spans="1:59" x14ac:dyDescent="0.25">
      <c r="A48" s="27" t="s">
        <v>86</v>
      </c>
      <c r="B48" s="5"/>
      <c r="C48" s="5"/>
      <c r="E48" s="5" t="s">
        <v>94</v>
      </c>
      <c r="F48" s="5">
        <f>F38+F43+F46</f>
        <v>12.808399392814977</v>
      </c>
      <c r="G48" s="11" t="s">
        <v>33</v>
      </c>
      <c r="H48" s="43" t="s">
        <v>371</v>
      </c>
      <c r="I48" s="5">
        <f>I27*F32</f>
        <v>0.30359251138471921</v>
      </c>
      <c r="J48" s="5" t="s">
        <v>33</v>
      </c>
      <c r="K48" s="5" t="s">
        <v>276</v>
      </c>
      <c r="L48" s="5">
        <f>L46*L47</f>
        <v>0.75898127846179775</v>
      </c>
      <c r="M48" s="5" t="s">
        <v>33</v>
      </c>
      <c r="N48" s="5" t="s">
        <v>178</v>
      </c>
      <c r="O48" s="5">
        <f>O37-O47</f>
        <v>0.10119750379490638</v>
      </c>
      <c r="P48" s="5" t="s">
        <v>33</v>
      </c>
      <c r="Q48" s="21" t="s">
        <v>372</v>
      </c>
      <c r="R48" s="4"/>
      <c r="S48" s="2"/>
      <c r="U48" s="5" t="s">
        <v>373</v>
      </c>
      <c r="V48" s="5">
        <f>V47*V40*V39</f>
        <v>0.1281415094339623</v>
      </c>
      <c r="W48" s="5" t="s">
        <v>21</v>
      </c>
      <c r="Y48" s="5" t="s">
        <v>374</v>
      </c>
      <c r="Z48" s="5">
        <f>Z35</f>
        <v>9.5000000000000001E-2</v>
      </c>
      <c r="AA48" s="5" t="s">
        <v>23</v>
      </c>
      <c r="AC48" s="14" t="s">
        <v>375</v>
      </c>
      <c r="AD48" s="14">
        <f>AD47*F11</f>
        <v>1845</v>
      </c>
      <c r="AE48" s="14" t="s">
        <v>119</v>
      </c>
      <c r="AG48" s="54" t="s">
        <v>376</v>
      </c>
      <c r="AH48">
        <f>AH47*J6</f>
        <v>0.4556213017751482</v>
      </c>
      <c r="AI48" s="36" t="s">
        <v>21</v>
      </c>
      <c r="AJ48" s="38" t="s">
        <v>377</v>
      </c>
      <c r="AK48" s="18">
        <v>0.05</v>
      </c>
      <c r="AL48" s="18" t="s">
        <v>8</v>
      </c>
      <c r="AQ48" s="5" t="s">
        <v>274</v>
      </c>
      <c r="AR48" s="5">
        <f>AR47*AR22</f>
        <v>0.26611581763756254</v>
      </c>
      <c r="AS48" s="5" t="s">
        <v>21</v>
      </c>
      <c r="AU48" s="5" t="s">
        <v>149</v>
      </c>
      <c r="AV48" s="5">
        <v>3.6</v>
      </c>
      <c r="AW48" s="5" t="s">
        <v>8</v>
      </c>
      <c r="BD48" s="18" t="s">
        <v>378</v>
      </c>
      <c r="BE48" s="18">
        <v>60</v>
      </c>
    </row>
    <row r="49" spans="1:59" x14ac:dyDescent="0.25">
      <c r="A49" s="5" t="s">
        <v>347</v>
      </c>
      <c r="B49" s="5">
        <f>B45</f>
        <v>50.452005259697572</v>
      </c>
      <c r="C49" s="5" t="s">
        <v>33</v>
      </c>
      <c r="E49" s="5" t="s">
        <v>106</v>
      </c>
      <c r="F49" s="5">
        <f>ROUND(F48/$F$9,0)</f>
        <v>841</v>
      </c>
      <c r="G49" s="11"/>
      <c r="H49" s="43" t="s">
        <v>198</v>
      </c>
      <c r="I49" s="5">
        <f>4</f>
        <v>4</v>
      </c>
      <c r="J49" s="5"/>
      <c r="K49" s="5" t="s">
        <v>178</v>
      </c>
      <c r="L49" s="5">
        <f>L41-L48</f>
        <v>0.65778377466689197</v>
      </c>
      <c r="M49" s="5" t="s">
        <v>33</v>
      </c>
      <c r="N49" s="37" t="s">
        <v>379</v>
      </c>
      <c r="O49" s="5">
        <v>0.5</v>
      </c>
      <c r="P49" s="5" t="s">
        <v>8</v>
      </c>
      <c r="Q49" s="5" t="s">
        <v>380</v>
      </c>
      <c r="R49" s="5">
        <f>(((F48+F55)+(I82+I66))*2)+(O19+O30)+(R19+R26)</f>
        <v>93.316916849384398</v>
      </c>
      <c r="S49" s="5" t="s">
        <v>33</v>
      </c>
      <c r="U49" s="14" t="s">
        <v>381</v>
      </c>
      <c r="V49" s="14">
        <f>V48*V45</f>
        <v>0.51256603773584919</v>
      </c>
      <c r="W49" s="14" t="s">
        <v>21</v>
      </c>
      <c r="Y49" s="14" t="s">
        <v>382</v>
      </c>
      <c r="Z49" s="14">
        <f>Z48*Z47*Z46</f>
        <v>8.847363328495407E-2</v>
      </c>
      <c r="AA49" s="14" t="s">
        <v>21</v>
      </c>
      <c r="AC49" s="5" t="s">
        <v>383</v>
      </c>
      <c r="AD49" s="5">
        <f>AD47*F9</f>
        <v>11.241216000000001</v>
      </c>
      <c r="AE49" s="5" t="s">
        <v>33</v>
      </c>
      <c r="AG49" s="14" t="s">
        <v>384</v>
      </c>
      <c r="AH49" s="5">
        <f>AH39-AH47</f>
        <v>56.089743589743591</v>
      </c>
      <c r="AI49" s="5" t="s">
        <v>33</v>
      </c>
      <c r="AJ49" s="39"/>
      <c r="AK49" s="18">
        <f>AK48*AK21</f>
        <v>5.7091346153846159E-2</v>
      </c>
      <c r="AL49" s="18" t="s">
        <v>23</v>
      </c>
      <c r="AQ49" s="14" t="s">
        <v>281</v>
      </c>
      <c r="AR49" s="14">
        <f>AR48*F12</f>
        <v>452.39688998385628</v>
      </c>
      <c r="AS49" s="14" t="s">
        <v>119</v>
      </c>
      <c r="AU49" s="5" t="s">
        <v>385</v>
      </c>
      <c r="AV49" s="5">
        <f>(AV48*AV42)/AV41</f>
        <v>2.1818181818181821</v>
      </c>
      <c r="AW49" s="5" t="s">
        <v>23</v>
      </c>
      <c r="BD49" s="16" t="s">
        <v>386</v>
      </c>
      <c r="BE49" s="16">
        <v>40</v>
      </c>
      <c r="BF49" s="49">
        <f>$BJ$4/BE49</f>
        <v>3.125</v>
      </c>
      <c r="BG49">
        <v>3</v>
      </c>
    </row>
    <row r="50" spans="1:59" x14ac:dyDescent="0.25">
      <c r="A50" s="5" t="s">
        <v>356</v>
      </c>
      <c r="B50" s="5"/>
      <c r="C50" s="5"/>
      <c r="E50" s="14" t="s">
        <v>118</v>
      </c>
      <c r="F50" s="5">
        <f>F49*$F$11</f>
        <v>2102.5</v>
      </c>
      <c r="G50" s="11" t="s">
        <v>119</v>
      </c>
      <c r="H50" s="43" t="s">
        <v>387</v>
      </c>
      <c r="I50" s="5">
        <f>I49*I48</f>
        <v>1.2143700455388768</v>
      </c>
      <c r="J50" s="5" t="s">
        <v>33</v>
      </c>
      <c r="K50" s="5" t="s">
        <v>388</v>
      </c>
      <c r="L50" s="5">
        <v>4</v>
      </c>
      <c r="M50" s="5"/>
      <c r="N50" s="35"/>
      <c r="O50" s="5">
        <f>O49*F20</f>
        <v>0.32467532467532467</v>
      </c>
      <c r="P50" s="5" t="s">
        <v>23</v>
      </c>
      <c r="Q50" s="5" t="s">
        <v>165</v>
      </c>
      <c r="R50" s="5">
        <f>(10+15)/2</f>
        <v>12.5</v>
      </c>
      <c r="S50" s="5" t="s">
        <v>210</v>
      </c>
      <c r="Y50" s="5" t="s">
        <v>389</v>
      </c>
      <c r="Z50" s="5"/>
      <c r="AA50" s="5"/>
      <c r="AC50" s="5" t="s">
        <v>262</v>
      </c>
      <c r="AD50" s="5">
        <f>AD49-(AD47*F8)</f>
        <v>2.1549600000000009</v>
      </c>
      <c r="AE50" s="5" t="s">
        <v>33</v>
      </c>
      <c r="AG50" s="28" t="s">
        <v>160</v>
      </c>
      <c r="AH50" s="19"/>
      <c r="AI50" s="26"/>
      <c r="AJ50" s="55" t="s">
        <v>390</v>
      </c>
      <c r="AK50" s="18">
        <f>AK49*AK47</f>
        <v>4.1114762892440186</v>
      </c>
      <c r="AL50" s="18" t="s">
        <v>21</v>
      </c>
      <c r="AQ50" s="27" t="s">
        <v>391</v>
      </c>
      <c r="AR50" s="5"/>
      <c r="AS50" s="5"/>
      <c r="AU50" s="5" t="s">
        <v>169</v>
      </c>
      <c r="AV50" s="5">
        <v>6.1</v>
      </c>
      <c r="AW50" s="5" t="s">
        <v>8</v>
      </c>
      <c r="BD50" s="16" t="s">
        <v>392</v>
      </c>
      <c r="BE50" s="16">
        <v>60</v>
      </c>
      <c r="BF50" s="49">
        <f>$BJ$4/BE50</f>
        <v>2.0833333333333335</v>
      </c>
      <c r="BG50">
        <v>2</v>
      </c>
    </row>
    <row r="51" spans="1:59" x14ac:dyDescent="0.25">
      <c r="A51" s="5" t="s">
        <v>139</v>
      </c>
      <c r="B51" s="5">
        <v>9</v>
      </c>
      <c r="C51" s="5" t="s">
        <v>8</v>
      </c>
      <c r="E51" s="5" t="s">
        <v>128</v>
      </c>
      <c r="F51" s="5">
        <f>F49*($F$9-$F$8)</f>
        <v>2.455719999999999</v>
      </c>
      <c r="G51" s="11" t="s">
        <v>33</v>
      </c>
      <c r="H51" s="37" t="s">
        <v>219</v>
      </c>
      <c r="I51" s="5">
        <v>1</v>
      </c>
      <c r="J51" s="5" t="s">
        <v>8</v>
      </c>
      <c r="K51" s="5" t="s">
        <v>170</v>
      </c>
      <c r="L51" s="5">
        <f>L48*L50</f>
        <v>3.035925113847191</v>
      </c>
      <c r="M51" s="5" t="s">
        <v>33</v>
      </c>
      <c r="N51" s="5" t="s">
        <v>136</v>
      </c>
      <c r="O51" s="5">
        <f>O50*O42</f>
        <v>0.12649687974363297</v>
      </c>
      <c r="P51" s="5" t="s">
        <v>33</v>
      </c>
      <c r="Q51" s="5" t="s">
        <v>220</v>
      </c>
      <c r="R51" s="5">
        <f>R49*(R50*10^-3)</f>
        <v>1.1664614606173049</v>
      </c>
      <c r="S51" s="5" t="s">
        <v>21</v>
      </c>
      <c r="U51" s="27" t="s">
        <v>393</v>
      </c>
      <c r="V51" s="5"/>
      <c r="W51" s="5"/>
      <c r="Y51" s="5" t="s">
        <v>394</v>
      </c>
      <c r="Z51" s="5">
        <f>Z41</f>
        <v>0.64102564102564108</v>
      </c>
      <c r="AA51" s="5" t="s">
        <v>23</v>
      </c>
      <c r="AC51" s="5" t="s">
        <v>395</v>
      </c>
      <c r="AD51" s="5">
        <f>AD50*(F4*10^-2)</f>
        <v>0.23273568000000011</v>
      </c>
      <c r="AE51" s="5" t="s">
        <v>21</v>
      </c>
      <c r="AG51" s="5" t="s">
        <v>396</v>
      </c>
      <c r="AH51" s="5">
        <f>(AH20*AH34)+(AH22*AH37)-(AH24*AH41)-AH26-(AH28*AH45)</f>
        <v>16.602564102564106</v>
      </c>
      <c r="AI51" s="5" t="s">
        <v>23</v>
      </c>
      <c r="AQ51" s="5" t="s">
        <v>299</v>
      </c>
      <c r="AR51" s="5">
        <v>0.4</v>
      </c>
      <c r="AS51" s="5" t="s">
        <v>8</v>
      </c>
      <c r="AU51" s="5" t="s">
        <v>397</v>
      </c>
      <c r="AV51" s="5">
        <f>(AV50*AV42)/AV41</f>
        <v>3.6969696969696968</v>
      </c>
      <c r="AW51" s="5" t="s">
        <v>23</v>
      </c>
      <c r="BD51" s="16" t="s">
        <v>398</v>
      </c>
      <c r="BE51" s="16">
        <v>80</v>
      </c>
      <c r="BF51" s="49">
        <f>$BJ$4/BE51</f>
        <v>1.5625</v>
      </c>
      <c r="BG51">
        <v>1</v>
      </c>
    </row>
    <row r="52" spans="1:59" x14ac:dyDescent="0.25">
      <c r="A52" s="5" t="s">
        <v>320</v>
      </c>
      <c r="B52" s="5">
        <v>5</v>
      </c>
      <c r="C52" s="5" t="s">
        <v>33</v>
      </c>
      <c r="E52" s="5" t="s">
        <v>138</v>
      </c>
      <c r="F52" s="5">
        <f>F51*($F$4*10^-2)</f>
        <v>0.26521775999999991</v>
      </c>
      <c r="G52" s="11" t="s">
        <v>21</v>
      </c>
      <c r="H52" s="35"/>
      <c r="I52" s="5">
        <f>I51*F20</f>
        <v>0.64935064935064934</v>
      </c>
      <c r="J52" s="5" t="s">
        <v>23</v>
      </c>
      <c r="K52" s="5" t="s">
        <v>399</v>
      </c>
      <c r="L52" s="5">
        <f>L49*L50</f>
        <v>2.6311350986675679</v>
      </c>
      <c r="M52" s="5" t="s">
        <v>33</v>
      </c>
      <c r="N52" s="5" t="s">
        <v>198</v>
      </c>
      <c r="O52" s="5">
        <v>2</v>
      </c>
      <c r="P52" s="5"/>
      <c r="Q52" s="5" t="s">
        <v>231</v>
      </c>
      <c r="R52" s="5">
        <f>R50*R51</f>
        <v>14.580768257716311</v>
      </c>
      <c r="S52" s="5" t="s">
        <v>119</v>
      </c>
      <c r="U52" s="5" t="s">
        <v>400</v>
      </c>
      <c r="V52" s="5">
        <f>'[1]Typehus O1860'!AZ43</f>
        <v>0.11234449760765551</v>
      </c>
      <c r="W52" s="5" t="s">
        <v>23</v>
      </c>
      <c r="Y52" s="5" t="s">
        <v>401</v>
      </c>
      <c r="Z52" s="5">
        <f>Z24</f>
        <v>1.5566037735849056</v>
      </c>
      <c r="AA52" s="5" t="s">
        <v>23</v>
      </c>
      <c r="AC52" s="54" t="s">
        <v>402</v>
      </c>
      <c r="AD52" s="17">
        <f>AD51*F12</f>
        <v>395.6506560000002</v>
      </c>
      <c r="AE52" s="54" t="s">
        <v>119</v>
      </c>
      <c r="AG52" s="5" t="s">
        <v>403</v>
      </c>
      <c r="AH52" s="5">
        <v>17</v>
      </c>
      <c r="AI52" s="5" t="s">
        <v>8</v>
      </c>
      <c r="AQ52" s="5" t="s">
        <v>308</v>
      </c>
      <c r="AR52" s="5">
        <f>(($F$18*AR51)/$F$19)+$AR$17</f>
        <v>0.50974025974025972</v>
      </c>
      <c r="AS52" s="5" t="s">
        <v>23</v>
      </c>
      <c r="AU52" s="5" t="s">
        <v>203</v>
      </c>
      <c r="AV52" s="5">
        <v>2.5</v>
      </c>
      <c r="AW52" s="5" t="s">
        <v>8</v>
      </c>
      <c r="BD52" s="56" t="s">
        <v>404</v>
      </c>
      <c r="BE52" s="56">
        <v>60</v>
      </c>
      <c r="BF52" s="49">
        <f>$BJ$4/BE52</f>
        <v>2.0833333333333335</v>
      </c>
      <c r="BG52">
        <v>2</v>
      </c>
    </row>
    <row r="53" spans="1:59" x14ac:dyDescent="0.25">
      <c r="A53" s="5" t="s">
        <v>405</v>
      </c>
      <c r="B53" s="5">
        <v>10.6</v>
      </c>
      <c r="C53" s="5" t="s">
        <v>8</v>
      </c>
      <c r="E53" s="14" t="s">
        <v>150</v>
      </c>
      <c r="F53" s="5">
        <f>F52*$F$12</f>
        <v>450.87019199999986</v>
      </c>
      <c r="G53" s="11" t="s">
        <v>119</v>
      </c>
      <c r="H53" s="37" t="s">
        <v>240</v>
      </c>
      <c r="I53" s="5">
        <v>0.9</v>
      </c>
      <c r="J53" s="5" t="s">
        <v>8</v>
      </c>
      <c r="K53" s="5" t="s">
        <v>265</v>
      </c>
      <c r="L53" s="5">
        <f>L35-L41</f>
        <v>0.71681565188058682</v>
      </c>
      <c r="M53" s="5" t="s">
        <v>33</v>
      </c>
      <c r="N53" s="5" t="s">
        <v>136</v>
      </c>
      <c r="O53" s="5">
        <f>O51*O52</f>
        <v>0.25299375948726593</v>
      </c>
      <c r="P53" s="5" t="s">
        <v>33</v>
      </c>
      <c r="U53" s="5" t="s">
        <v>406</v>
      </c>
      <c r="V53" s="5">
        <f>V37/V52</f>
        <v>80.602545269653163</v>
      </c>
      <c r="W53" s="5" t="s">
        <v>407</v>
      </c>
      <c r="Y53" s="5" t="s">
        <v>374</v>
      </c>
      <c r="Z53" s="5">
        <f>Z48</f>
        <v>9.5000000000000001E-2</v>
      </c>
      <c r="AA53" s="5" t="s">
        <v>23</v>
      </c>
      <c r="AC53" s="27" t="s">
        <v>408</v>
      </c>
      <c r="AD53" s="5"/>
      <c r="AE53" s="5"/>
      <c r="AG53" s="5" t="s">
        <v>409</v>
      </c>
      <c r="AH53" s="5">
        <f>1+(AH52*10^-2)</f>
        <v>1.17</v>
      </c>
      <c r="AI53" s="5" t="s">
        <v>410</v>
      </c>
      <c r="AQ53" s="5" t="s">
        <v>319</v>
      </c>
      <c r="AR53" s="5">
        <v>1.2</v>
      </c>
      <c r="AS53" s="5" t="s">
        <v>8</v>
      </c>
      <c r="AU53" s="5" t="s">
        <v>411</v>
      </c>
      <c r="AV53" s="5">
        <f>(AV52*AV42)/AV41</f>
        <v>1.5151515151515151</v>
      </c>
      <c r="AW53" s="5" t="s">
        <v>23</v>
      </c>
      <c r="BD53" s="23" t="s">
        <v>412</v>
      </c>
      <c r="BE53" s="23">
        <v>80</v>
      </c>
      <c r="BF53" s="49">
        <f>$BJ$4/BE53</f>
        <v>1.5625</v>
      </c>
      <c r="BG53">
        <v>1</v>
      </c>
    </row>
    <row r="54" spans="1:59" x14ac:dyDescent="0.25">
      <c r="A54" s="5" t="s">
        <v>413</v>
      </c>
      <c r="B54" s="5">
        <f>(B52*B51)/B53</f>
        <v>4.2452830188679247</v>
      </c>
      <c r="C54" s="5" t="s">
        <v>33</v>
      </c>
      <c r="E54" s="46" t="s">
        <v>414</v>
      </c>
      <c r="H54" s="35"/>
      <c r="I54" s="5">
        <f>I53*F20</f>
        <v>0.58441558441558439</v>
      </c>
      <c r="J54" s="5" t="s">
        <v>23</v>
      </c>
      <c r="K54" s="5" t="s">
        <v>198</v>
      </c>
      <c r="L54" s="5">
        <v>4</v>
      </c>
      <c r="M54" s="5"/>
      <c r="N54" s="5" t="s">
        <v>178</v>
      </c>
      <c r="O54" s="5">
        <f>O40-O53</f>
        <v>5.0598751897453165E-2</v>
      </c>
      <c r="P54" s="5" t="s">
        <v>33</v>
      </c>
      <c r="U54" s="5" t="s">
        <v>415</v>
      </c>
      <c r="V54" s="5">
        <f>ROUND(V53*2,0)</f>
        <v>161</v>
      </c>
      <c r="W54" s="5" t="s">
        <v>407</v>
      </c>
      <c r="Y54" s="14" t="s">
        <v>416</v>
      </c>
      <c r="Z54" s="14">
        <f>Z53*Z52*Z51</f>
        <v>9.4793178519593624E-2</v>
      </c>
      <c r="AA54" s="14" t="s">
        <v>21</v>
      </c>
      <c r="AC54" s="5" t="s">
        <v>417</v>
      </c>
      <c r="AD54" s="5">
        <f>AD29-(2*AD26)</f>
        <v>1.0702564102564103</v>
      </c>
      <c r="AE54" s="5" t="s">
        <v>23</v>
      </c>
      <c r="AG54" s="5" t="s">
        <v>418</v>
      </c>
      <c r="AH54" s="5">
        <f>ROUND(AH51/AH53,0)</f>
        <v>14</v>
      </c>
      <c r="AI54" s="5" t="s">
        <v>270</v>
      </c>
      <c r="AQ54" s="5" t="s">
        <v>204</v>
      </c>
      <c r="AR54" s="5">
        <f>(($F$18*AR53)/$F$19)+$AR$17</f>
        <v>1.0292207792207793</v>
      </c>
      <c r="AS54" s="5" t="s">
        <v>23</v>
      </c>
      <c r="AU54" s="5" t="s">
        <v>219</v>
      </c>
      <c r="AV54" s="5">
        <v>1.2</v>
      </c>
      <c r="AW54" s="5" t="s">
        <v>8</v>
      </c>
      <c r="BD54" s="18" t="s">
        <v>419</v>
      </c>
      <c r="BE54" s="18">
        <v>50</v>
      </c>
    </row>
    <row r="55" spans="1:59" x14ac:dyDescent="0.25">
      <c r="A55" s="5" t="s">
        <v>420</v>
      </c>
      <c r="B55" s="5">
        <f>B12</f>
        <v>8.0128205128205128</v>
      </c>
      <c r="C55" s="5" t="s">
        <v>23</v>
      </c>
      <c r="E55" s="5" t="s">
        <v>421</v>
      </c>
      <c r="F55" s="5">
        <f>F26-F48</f>
        <v>6.925113847191767</v>
      </c>
      <c r="G55" s="11" t="s">
        <v>33</v>
      </c>
      <c r="H55" s="5" t="s">
        <v>422</v>
      </c>
      <c r="I55" s="5">
        <f>I52*I54</f>
        <v>0.37949063923089893</v>
      </c>
      <c r="J55" s="5" t="s">
        <v>33</v>
      </c>
      <c r="K55" s="5" t="s">
        <v>283</v>
      </c>
      <c r="L55" s="5">
        <f>L53*L54</f>
        <v>2.8672626075223473</v>
      </c>
      <c r="M55" s="5" t="s">
        <v>33</v>
      </c>
      <c r="N55" s="37" t="s">
        <v>291</v>
      </c>
      <c r="O55" s="5">
        <v>2.7</v>
      </c>
      <c r="P55" s="5" t="s">
        <v>8</v>
      </c>
      <c r="U55" s="57" t="s">
        <v>423</v>
      </c>
      <c r="V55" s="9"/>
      <c r="W55" s="9"/>
      <c r="Y55" s="27" t="s">
        <v>424</v>
      </c>
      <c r="Z55" s="5"/>
      <c r="AA55" s="5"/>
      <c r="AC55" s="5" t="s">
        <v>425</v>
      </c>
      <c r="AD55" s="5">
        <f>ROUND(AD54/((F3+F7)*10^-2),0)</f>
        <v>4</v>
      </c>
      <c r="AE55" s="5" t="s">
        <v>250</v>
      </c>
      <c r="AG55" s="5" t="s">
        <v>426</v>
      </c>
      <c r="AH55" s="5">
        <f>AH54*(AH52*10^-2)</f>
        <v>2.3800000000000003</v>
      </c>
      <c r="AI55" s="5" t="s">
        <v>23</v>
      </c>
      <c r="AQ55" s="5" t="s">
        <v>427</v>
      </c>
      <c r="AR55" s="5">
        <f>((AR52+AR54)/2)*F23</f>
        <v>5.8460532973519976</v>
      </c>
      <c r="AS55" s="5" t="s">
        <v>33</v>
      </c>
      <c r="AU55" s="5" t="s">
        <v>428</v>
      </c>
      <c r="AV55" s="5">
        <f>(AV54*AV42)/AV41</f>
        <v>0.72727272727272729</v>
      </c>
      <c r="AW55" s="5" t="s">
        <v>23</v>
      </c>
      <c r="BD55" s="18" t="s">
        <v>429</v>
      </c>
      <c r="BE55" s="18">
        <v>50</v>
      </c>
    </row>
    <row r="56" spans="1:59" x14ac:dyDescent="0.25">
      <c r="A56" s="5" t="s">
        <v>430</v>
      </c>
      <c r="B56" s="5">
        <f>B55*B54</f>
        <v>34.016690856313502</v>
      </c>
      <c r="C56" s="5" t="s">
        <v>33</v>
      </c>
      <c r="E56" s="14" t="s">
        <v>179</v>
      </c>
      <c r="F56" s="5">
        <f>F55*($J$2*10^-2)</f>
        <v>1.1772693540226005</v>
      </c>
      <c r="G56" s="11" t="s">
        <v>21</v>
      </c>
      <c r="H56" s="5" t="s">
        <v>198</v>
      </c>
      <c r="I56" s="5">
        <v>2</v>
      </c>
      <c r="J56" s="5"/>
      <c r="K56" s="37" t="s">
        <v>203</v>
      </c>
      <c r="L56" s="5">
        <v>0.2</v>
      </c>
      <c r="M56" s="5" t="s">
        <v>8</v>
      </c>
      <c r="N56" s="35"/>
      <c r="O56" s="5">
        <f>O55*F20</f>
        <v>1.7532467532467533</v>
      </c>
      <c r="P56" s="5" t="s">
        <v>23</v>
      </c>
      <c r="U56" s="5" t="s">
        <v>14</v>
      </c>
      <c r="V56" s="5">
        <v>7.2999999999999995E-2</v>
      </c>
      <c r="W56" s="5" t="s">
        <v>23</v>
      </c>
      <c r="Y56" s="5" t="s">
        <v>431</v>
      </c>
      <c r="Z56" s="5"/>
      <c r="AA56" s="5"/>
      <c r="AC56" s="5" t="s">
        <v>432</v>
      </c>
      <c r="AD56" s="5">
        <v>1.3</v>
      </c>
      <c r="AE56" s="5" t="s">
        <v>8</v>
      </c>
      <c r="AG56" s="5" t="s">
        <v>433</v>
      </c>
      <c r="AH56" s="5">
        <f>AH55*AH30</f>
        <v>7.7807692307692315</v>
      </c>
      <c r="AI56" s="5" t="s">
        <v>33</v>
      </c>
      <c r="AQ56" s="5" t="s">
        <v>225</v>
      </c>
      <c r="AR56" s="5">
        <f>AR55*AR24</f>
        <v>4.7253550549499614</v>
      </c>
      <c r="AS56" s="5" t="s">
        <v>33</v>
      </c>
      <c r="AU56" s="5"/>
      <c r="AV56" s="5"/>
      <c r="AW56" s="5"/>
      <c r="BD56" s="18" t="s">
        <v>434</v>
      </c>
      <c r="BE56" s="18">
        <v>25</v>
      </c>
    </row>
    <row r="57" spans="1:59" x14ac:dyDescent="0.25">
      <c r="A57" s="5"/>
      <c r="B57" s="5"/>
      <c r="C57" s="5"/>
      <c r="H57" s="5" t="s">
        <v>435</v>
      </c>
      <c r="I57" s="5">
        <f>I55*I56</f>
        <v>0.75898127846179786</v>
      </c>
      <c r="J57" s="5" t="s">
        <v>33</v>
      </c>
      <c r="K57" s="35"/>
      <c r="L57" s="5">
        <f>L56*F20</f>
        <v>0.12987012987012989</v>
      </c>
      <c r="M57" s="5" t="s">
        <v>23</v>
      </c>
      <c r="N57" s="37" t="s">
        <v>307</v>
      </c>
      <c r="O57" s="5">
        <v>1.2</v>
      </c>
      <c r="P57" s="5" t="s">
        <v>8</v>
      </c>
      <c r="U57" s="5" t="s">
        <v>303</v>
      </c>
      <c r="V57" s="5">
        <v>3.7999999999999999E-2</v>
      </c>
      <c r="W57" s="5" t="s">
        <v>23</v>
      </c>
      <c r="Y57" s="5" t="s">
        <v>436</v>
      </c>
      <c r="Z57" s="5">
        <f>Z47</f>
        <v>1.3207547169811322</v>
      </c>
      <c r="AA57" s="5" t="s">
        <v>23</v>
      </c>
      <c r="AC57" s="5" t="s">
        <v>437</v>
      </c>
      <c r="AD57" s="5">
        <f>(V24*AD56)/V25</f>
        <v>0.6132075471698113</v>
      </c>
      <c r="AE57" s="5" t="s">
        <v>23</v>
      </c>
      <c r="AG57" s="5" t="s">
        <v>438</v>
      </c>
      <c r="AH57" s="5">
        <f>AH56*(AH52*10^-2)</f>
        <v>1.3227307692307695</v>
      </c>
      <c r="AI57" s="5" t="s">
        <v>21</v>
      </c>
      <c r="AQ57" s="5" t="s">
        <v>353</v>
      </c>
      <c r="AR57" s="5">
        <f>AR56*AR22</f>
        <v>1.4176065164849885</v>
      </c>
      <c r="AS57" s="5" t="s">
        <v>21</v>
      </c>
      <c r="AU57" s="5"/>
      <c r="AV57" s="5"/>
      <c r="AW57" s="5"/>
      <c r="BD57" s="16" t="s">
        <v>439</v>
      </c>
      <c r="BE57" s="16">
        <v>60</v>
      </c>
      <c r="BF57" s="49">
        <f>$BJ$7/BE57</f>
        <v>1.0833333333333333</v>
      </c>
      <c r="BG57">
        <v>1</v>
      </c>
    </row>
    <row r="58" spans="1:59" x14ac:dyDescent="0.25">
      <c r="A58" s="5" t="s">
        <v>440</v>
      </c>
      <c r="B58" s="5">
        <f>B45+B49</f>
        <v>100.90401051939514</v>
      </c>
      <c r="C58" s="5" t="s">
        <v>33</v>
      </c>
      <c r="H58" s="37" t="s">
        <v>241</v>
      </c>
      <c r="I58" s="5">
        <v>1.6</v>
      </c>
      <c r="J58" s="5" t="s">
        <v>8</v>
      </c>
      <c r="K58" s="43" t="s">
        <v>441</v>
      </c>
      <c r="L58" s="5">
        <f>L57*L32</f>
        <v>0.1855287569573284</v>
      </c>
      <c r="M58" s="5" t="s">
        <v>33</v>
      </c>
      <c r="N58" s="35"/>
      <c r="O58" s="5">
        <f>O57*F20</f>
        <v>0.77922077922077915</v>
      </c>
      <c r="P58" s="5" t="s">
        <v>23</v>
      </c>
      <c r="U58" s="5" t="s">
        <v>124</v>
      </c>
      <c r="V58" s="5">
        <f>B12</f>
        <v>8.0128205128205128</v>
      </c>
      <c r="W58" s="5" t="s">
        <v>23</v>
      </c>
      <c r="Y58" s="5" t="s">
        <v>442</v>
      </c>
      <c r="Z58" s="5">
        <f>Z30</f>
        <v>0.33018867924528306</v>
      </c>
      <c r="AA58" s="5" t="s">
        <v>23</v>
      </c>
      <c r="AC58" s="5" t="s">
        <v>443</v>
      </c>
      <c r="AD58" s="5">
        <f>0.5*AD19*(AD57+AD54)</f>
        <v>6.3129898403483313</v>
      </c>
      <c r="AE58" s="5" t="s">
        <v>33</v>
      </c>
      <c r="AG58" s="5" t="s">
        <v>444</v>
      </c>
      <c r="AH58" s="5">
        <f>AH51-AH55</f>
        <v>14.222564102564105</v>
      </c>
      <c r="AI58" s="5" t="s">
        <v>23</v>
      </c>
      <c r="AQ58" s="20" t="s">
        <v>251</v>
      </c>
      <c r="AR58" s="20">
        <f>AR57*AR33</f>
        <v>3756.6572686852196</v>
      </c>
      <c r="AS58" s="20" t="s">
        <v>119</v>
      </c>
      <c r="AU58" s="5" t="s">
        <v>445</v>
      </c>
      <c r="AV58" s="5">
        <f>AH30</f>
        <v>3.2692307692307692</v>
      </c>
      <c r="AW58" s="5" t="s">
        <v>23</v>
      </c>
      <c r="BD58" s="18" t="s">
        <v>446</v>
      </c>
      <c r="BE58" s="18">
        <v>30</v>
      </c>
    </row>
    <row r="59" spans="1:59" x14ac:dyDescent="0.25">
      <c r="A59" s="5" t="s">
        <v>447</v>
      </c>
      <c r="B59" s="5">
        <f>B56+B46</f>
        <v>84.468696116011074</v>
      </c>
      <c r="C59" s="5" t="s">
        <v>33</v>
      </c>
      <c r="H59" s="35"/>
      <c r="I59" s="5">
        <f>I58*F20</f>
        <v>1.0389610389610391</v>
      </c>
      <c r="J59" s="5" t="s">
        <v>23</v>
      </c>
      <c r="K59" s="43" t="s">
        <v>198</v>
      </c>
      <c r="L59" s="5">
        <v>4</v>
      </c>
      <c r="M59" s="5"/>
      <c r="N59" s="43" t="s">
        <v>188</v>
      </c>
      <c r="O59" s="5">
        <f>O56*O57</f>
        <v>2.1038961038961039</v>
      </c>
      <c r="P59" s="5" t="s">
        <v>33</v>
      </c>
      <c r="U59" s="5" t="s">
        <v>448</v>
      </c>
      <c r="V59" s="5">
        <f>V58*V57*V56</f>
        <v>2.2227564102564098E-2</v>
      </c>
      <c r="W59" s="5" t="s">
        <v>21</v>
      </c>
      <c r="Y59" s="5" t="s">
        <v>374</v>
      </c>
      <c r="Z59" s="5">
        <f>Z53</f>
        <v>9.5000000000000001E-2</v>
      </c>
      <c r="AA59" s="5" t="s">
        <v>23</v>
      </c>
      <c r="AC59" s="5" t="s">
        <v>449</v>
      </c>
      <c r="AD59" s="5">
        <f>AD58</f>
        <v>6.3129898403483313</v>
      </c>
      <c r="AE59" s="5" t="s">
        <v>33</v>
      </c>
      <c r="AG59" s="5" t="s">
        <v>7</v>
      </c>
      <c r="AH59" s="5">
        <v>17</v>
      </c>
      <c r="AI59" s="5" t="s">
        <v>8</v>
      </c>
      <c r="AQ59" s="5" t="s">
        <v>262</v>
      </c>
      <c r="AR59" s="5">
        <f>AR55-AR56</f>
        <v>1.1206982424020362</v>
      </c>
      <c r="AS59" s="5" t="s">
        <v>33</v>
      </c>
      <c r="AU59" s="5" t="s">
        <v>450</v>
      </c>
      <c r="AV59" s="5">
        <v>1</v>
      </c>
      <c r="AW59" s="5" t="s">
        <v>111</v>
      </c>
      <c r="BD59" s="23" t="s">
        <v>451</v>
      </c>
      <c r="BE59" s="23">
        <v>60</v>
      </c>
      <c r="BF59" s="24">
        <f>$BJ$11/BE59</f>
        <v>-8.3333333333333329E-2</v>
      </c>
      <c r="BG59">
        <v>0</v>
      </c>
    </row>
    <row r="60" spans="1:59" x14ac:dyDescent="0.25">
      <c r="H60" s="37" t="s">
        <v>256</v>
      </c>
      <c r="I60" s="5">
        <v>1.9</v>
      </c>
      <c r="J60" s="5" t="s">
        <v>8</v>
      </c>
      <c r="K60" s="43" t="s">
        <v>452</v>
      </c>
      <c r="L60" s="5">
        <f>L58*L59</f>
        <v>0.7421150278293136</v>
      </c>
      <c r="M60" s="5" t="s">
        <v>33</v>
      </c>
      <c r="N60" s="37" t="s">
        <v>93</v>
      </c>
      <c r="O60" s="5">
        <v>3.4</v>
      </c>
      <c r="P60" s="5" t="s">
        <v>8</v>
      </c>
      <c r="U60" s="14" t="s">
        <v>453</v>
      </c>
      <c r="V60" s="14">
        <f>V59*V54</f>
        <v>3.5786378205128195</v>
      </c>
      <c r="W60" s="14" t="s">
        <v>21</v>
      </c>
      <c r="Y60" s="36" t="s">
        <v>454</v>
      </c>
      <c r="Z60">
        <v>2</v>
      </c>
      <c r="AC60" s="5" t="s">
        <v>455</v>
      </c>
      <c r="AD60" s="5">
        <f>0.5*AD19*(AD57+AD31)</f>
        <v>6.62645137880987</v>
      </c>
      <c r="AE60" s="5" t="s">
        <v>33</v>
      </c>
      <c r="AG60" s="5" t="s">
        <v>456</v>
      </c>
      <c r="AH60" s="5">
        <f>AH58*(AH59*10^-2)</f>
        <v>2.4178358974358982</v>
      </c>
      <c r="AI60" s="5" t="s">
        <v>33</v>
      </c>
      <c r="AQ60" s="5" t="s">
        <v>274</v>
      </c>
      <c r="AR60" s="5">
        <f>AR59*AR22</f>
        <v>0.33620947272061086</v>
      </c>
      <c r="AS60" s="5" t="s">
        <v>21</v>
      </c>
      <c r="AU60" s="5" t="s">
        <v>457</v>
      </c>
      <c r="AV60" s="5">
        <f>AV58-AV59</f>
        <v>2.2692307692307692</v>
      </c>
      <c r="AW60" s="5" t="s">
        <v>23</v>
      </c>
      <c r="BD60" s="23" t="s">
        <v>458</v>
      </c>
      <c r="BE60" s="23">
        <v>40</v>
      </c>
      <c r="BF60" s="24">
        <f>BJ4/BE60</f>
        <v>3.125</v>
      </c>
      <c r="BG60">
        <v>3</v>
      </c>
    </row>
    <row r="61" spans="1:59" x14ac:dyDescent="0.25">
      <c r="H61" s="35"/>
      <c r="I61" s="5">
        <f>I60*F20</f>
        <v>1.2337662337662336</v>
      </c>
      <c r="J61" s="5" t="s">
        <v>23</v>
      </c>
      <c r="K61" s="37" t="s">
        <v>291</v>
      </c>
      <c r="L61" s="5">
        <v>2.2000000000000002</v>
      </c>
      <c r="M61" s="5" t="s">
        <v>8</v>
      </c>
      <c r="N61" s="35"/>
      <c r="O61" s="5">
        <f>O60*F20</f>
        <v>2.2077922077922079</v>
      </c>
      <c r="P61" s="5" t="s">
        <v>23</v>
      </c>
      <c r="Y61" s="20" t="s">
        <v>459</v>
      </c>
      <c r="Z61" s="20">
        <f>(Z59*Z58*Z57)*Z60</f>
        <v>8.2858668565325769E-2</v>
      </c>
      <c r="AA61" s="20" t="s">
        <v>21</v>
      </c>
      <c r="AC61" s="5" t="s">
        <v>460</v>
      </c>
      <c r="AD61" s="5">
        <f>AD60</f>
        <v>6.62645137880987</v>
      </c>
      <c r="AE61" s="5" t="s">
        <v>33</v>
      </c>
      <c r="AG61" s="5" t="s">
        <v>461</v>
      </c>
      <c r="AH61" s="5">
        <f>AH60*AH59*10^-2</f>
        <v>0.41103210256410272</v>
      </c>
      <c r="AI61" s="5" t="s">
        <v>21</v>
      </c>
      <c r="AQ61" s="14" t="s">
        <v>281</v>
      </c>
      <c r="AR61" s="14">
        <f>AR60*F12</f>
        <v>571.55610362503842</v>
      </c>
      <c r="AS61" s="14" t="s">
        <v>119</v>
      </c>
      <c r="BD61" s="23" t="s">
        <v>462</v>
      </c>
      <c r="BE61" s="23">
        <v>30</v>
      </c>
      <c r="BF61" s="24">
        <f>$BJ$11/BE61</f>
        <v>-0.16666666666666666</v>
      </c>
      <c r="BG61">
        <v>0</v>
      </c>
    </row>
    <row r="62" spans="1:59" x14ac:dyDescent="0.25">
      <c r="H62" s="37" t="s">
        <v>463</v>
      </c>
      <c r="I62" s="5">
        <v>2.1</v>
      </c>
      <c r="J62" s="5" t="s">
        <v>8</v>
      </c>
      <c r="K62" s="35"/>
      <c r="L62" s="5">
        <f>L61*F20</f>
        <v>1.4285714285714286</v>
      </c>
      <c r="M62" s="5" t="s">
        <v>23</v>
      </c>
      <c r="N62" s="37" t="s">
        <v>117</v>
      </c>
      <c r="O62" s="5">
        <v>2.2000000000000002</v>
      </c>
      <c r="P62" s="5" t="s">
        <v>8</v>
      </c>
      <c r="U62" s="14" t="s">
        <v>464</v>
      </c>
      <c r="V62" s="14">
        <f>V60+V49+V42</f>
        <v>7.2315654093712967</v>
      </c>
      <c r="W62" s="14" t="s">
        <v>21</v>
      </c>
      <c r="Y62" s="5" t="s">
        <v>465</v>
      </c>
      <c r="Z62" s="5"/>
      <c r="AA62" s="5"/>
      <c r="AC62" s="5" t="s">
        <v>466</v>
      </c>
      <c r="AD62" s="5">
        <f>AD61+AD60+AD59+AD58</f>
        <v>25.878882438316403</v>
      </c>
      <c r="AE62" s="5" t="s">
        <v>33</v>
      </c>
      <c r="AG62" s="14" t="s">
        <v>467</v>
      </c>
      <c r="AH62" s="4">
        <f>AH61+AH57</f>
        <v>1.7337628717948723</v>
      </c>
      <c r="AI62" s="5" t="s">
        <v>21</v>
      </c>
      <c r="AQ62" s="27" t="s">
        <v>468</v>
      </c>
      <c r="AR62" s="5"/>
      <c r="AS62" s="5"/>
      <c r="AU62" s="5" t="s">
        <v>469</v>
      </c>
      <c r="AV62" s="5">
        <f>AV45+(AV47*2)+AV58+(AV49*2)+AV51+(AV53*2)+(AV60*4)+(AV55*2)</f>
        <v>27.376456876456874</v>
      </c>
      <c r="AW62" s="5" t="s">
        <v>23</v>
      </c>
      <c r="BD62" s="16" t="s">
        <v>470</v>
      </c>
      <c r="BE62" s="16">
        <v>60</v>
      </c>
      <c r="BF62" s="49">
        <f>(BJ3-BJ6)/BE62</f>
        <v>1.0833333333333333</v>
      </c>
      <c r="BG62">
        <v>1</v>
      </c>
    </row>
    <row r="63" spans="1:59" x14ac:dyDescent="0.25">
      <c r="H63" s="35"/>
      <c r="I63" s="5">
        <f>I62*F20</f>
        <v>1.3636363636363638</v>
      </c>
      <c r="J63" s="5" t="s">
        <v>23</v>
      </c>
      <c r="K63" s="37" t="s">
        <v>307</v>
      </c>
      <c r="L63" s="5">
        <v>3.1</v>
      </c>
      <c r="M63" s="5" t="s">
        <v>8</v>
      </c>
      <c r="N63" s="35"/>
      <c r="O63" s="5">
        <f>O62*F20</f>
        <v>1.4285714285714286</v>
      </c>
      <c r="P63" s="5" t="s">
        <v>23</v>
      </c>
      <c r="Y63" s="5" t="s">
        <v>471</v>
      </c>
      <c r="Z63" s="5">
        <f>Z52</f>
        <v>1.5566037735849056</v>
      </c>
      <c r="AA63" s="5" t="s">
        <v>23</v>
      </c>
      <c r="AC63" s="9" t="s">
        <v>472</v>
      </c>
      <c r="AD63" s="9">
        <f>ROUND(AD62/F9,0)</f>
        <v>1699</v>
      </c>
      <c r="AE63" s="9" t="s">
        <v>250</v>
      </c>
      <c r="AG63" s="40" t="s">
        <v>473</v>
      </c>
      <c r="AI63" s="44"/>
      <c r="AQ63" s="14" t="s">
        <v>251</v>
      </c>
      <c r="AR63" s="14">
        <f>AR58</f>
        <v>3756.6572686852196</v>
      </c>
      <c r="AS63" s="14" t="s">
        <v>119</v>
      </c>
      <c r="BD63" s="18" t="s">
        <v>474</v>
      </c>
      <c r="BE63" s="18">
        <v>60</v>
      </c>
    </row>
    <row r="64" spans="1:59" x14ac:dyDescent="0.25">
      <c r="H64" s="5" t="s">
        <v>475</v>
      </c>
      <c r="I64" s="5">
        <f>(I63*I44)-(I59*I61)</f>
        <v>0.40057345252150434</v>
      </c>
      <c r="J64" s="5" t="s">
        <v>33</v>
      </c>
      <c r="K64" s="35"/>
      <c r="L64" s="5">
        <f>L63*F20</f>
        <v>2.0129870129870131</v>
      </c>
      <c r="M64" s="5" t="s">
        <v>23</v>
      </c>
      <c r="N64" s="43" t="s">
        <v>136</v>
      </c>
      <c r="O64" s="5">
        <f>O61*O63</f>
        <v>3.1539888682745829</v>
      </c>
      <c r="P64" s="5" t="s">
        <v>33</v>
      </c>
      <c r="Y64" s="5" t="s">
        <v>476</v>
      </c>
      <c r="Z64" s="5">
        <f>Z58</f>
        <v>0.33018867924528306</v>
      </c>
      <c r="AA64" s="5" t="s">
        <v>23</v>
      </c>
      <c r="AC64" s="14" t="s">
        <v>477</v>
      </c>
      <c r="AD64" s="14">
        <f>AD63*F11</f>
        <v>4247.5</v>
      </c>
      <c r="AE64" s="14" t="s">
        <v>119</v>
      </c>
      <c r="AG64" s="5" t="s">
        <v>478</v>
      </c>
      <c r="AH64" s="5">
        <f>AH49</f>
        <v>56.089743589743591</v>
      </c>
      <c r="AI64" s="5" t="s">
        <v>33</v>
      </c>
      <c r="AQ64" s="14" t="s">
        <v>281</v>
      </c>
      <c r="AR64" s="14">
        <f>AR61</f>
        <v>571.55610362503842</v>
      </c>
      <c r="AS64" s="14" t="s">
        <v>119</v>
      </c>
      <c r="AU64" s="21" t="s">
        <v>479</v>
      </c>
      <c r="AV64" s="4"/>
      <c r="AW64" s="2"/>
      <c r="BD64" s="16" t="s">
        <v>581</v>
      </c>
      <c r="BE64" s="16">
        <v>60</v>
      </c>
      <c r="BF64" s="49">
        <f>$BJ$11/BE64</f>
        <v>-8.3333333333333329E-2</v>
      </c>
      <c r="BG64">
        <v>0</v>
      </c>
    </row>
    <row r="65" spans="8:59" x14ac:dyDescent="0.25">
      <c r="H65" s="40" t="s">
        <v>480</v>
      </c>
      <c r="J65" s="44"/>
      <c r="K65" s="43" t="s">
        <v>188</v>
      </c>
      <c r="L65" s="5">
        <f>L62*L64</f>
        <v>2.8756957328385901</v>
      </c>
      <c r="M65" s="5" t="s">
        <v>33</v>
      </c>
      <c r="N65" s="35" t="s">
        <v>481</v>
      </c>
      <c r="O65" s="5">
        <f>O64-O59-O37-O40</f>
        <v>0.26581210996795468</v>
      </c>
      <c r="P65" s="5" t="s">
        <v>33</v>
      </c>
      <c r="Y65" s="5" t="s">
        <v>482</v>
      </c>
      <c r="Z65" s="5">
        <f>Z59</f>
        <v>9.5000000000000001E-2</v>
      </c>
      <c r="AA65" s="5" t="s">
        <v>23</v>
      </c>
      <c r="AC65" s="5" t="s">
        <v>483</v>
      </c>
      <c r="AD65" s="5">
        <f>AD62-(AD63*F8)</f>
        <v>4.9607944383163982</v>
      </c>
      <c r="AE65" s="5" t="s">
        <v>33</v>
      </c>
      <c r="AG65" s="5" t="s">
        <v>106</v>
      </c>
      <c r="AH65" s="5">
        <f>ROUND(AH64/$F$9,0)</f>
        <v>3682</v>
      </c>
      <c r="AI65" s="5"/>
      <c r="AU65" s="5" t="s">
        <v>484</v>
      </c>
      <c r="AV65" s="5">
        <v>3</v>
      </c>
      <c r="AW65" s="5"/>
      <c r="BD65" s="23" t="s">
        <v>485</v>
      </c>
      <c r="BE65" s="23">
        <v>80</v>
      </c>
      <c r="BF65" s="49"/>
    </row>
    <row r="66" spans="8:59" x14ac:dyDescent="0.25">
      <c r="H66" s="5" t="s">
        <v>486</v>
      </c>
      <c r="I66" s="5">
        <f>I30+I35+I42+I50+I57+I64+I47</f>
        <v>7.1639399561477468</v>
      </c>
      <c r="J66" s="5" t="s">
        <v>33</v>
      </c>
      <c r="K66" s="37" t="s">
        <v>285</v>
      </c>
      <c r="L66" s="5">
        <v>0.6</v>
      </c>
      <c r="M66" s="5" t="s">
        <v>8</v>
      </c>
      <c r="Y66" s="5" t="s">
        <v>454</v>
      </c>
      <c r="Z66" s="5">
        <v>2</v>
      </c>
      <c r="AA66" s="5"/>
      <c r="AC66" s="5" t="s">
        <v>274</v>
      </c>
      <c r="AD66" s="5">
        <f>AD65*(F4*10^-2)</f>
        <v>0.53576579933817103</v>
      </c>
      <c r="AE66" s="5" t="s">
        <v>21</v>
      </c>
      <c r="AG66" s="14" t="s">
        <v>118</v>
      </c>
      <c r="AH66" s="5">
        <f>AH65*$F$11</f>
        <v>9205</v>
      </c>
      <c r="AI66" s="5" t="s">
        <v>119</v>
      </c>
      <c r="AQ66" s="14" t="s">
        <v>487</v>
      </c>
      <c r="AR66" s="14">
        <f>AR63+AR58+AR46+AR34</f>
        <v>16316.104493376457</v>
      </c>
      <c r="AS66" s="14" t="s">
        <v>119</v>
      </c>
      <c r="AU66" s="5" t="s">
        <v>420</v>
      </c>
      <c r="AV66" s="5">
        <f>10*10^-2</f>
        <v>0.1</v>
      </c>
      <c r="AW66" s="5" t="s">
        <v>23</v>
      </c>
      <c r="BD66" s="16" t="s">
        <v>488</v>
      </c>
      <c r="BE66" s="16">
        <v>15</v>
      </c>
      <c r="BF66" s="49">
        <f>$BJ$13/BE66</f>
        <v>1.6666666666666667</v>
      </c>
      <c r="BG66">
        <v>1</v>
      </c>
    </row>
    <row r="67" spans="8:59" x14ac:dyDescent="0.25">
      <c r="H67" s="5" t="s">
        <v>106</v>
      </c>
      <c r="I67" s="5">
        <f>ROUND(I66/$F$9,0)</f>
        <v>470</v>
      </c>
      <c r="J67" s="5"/>
      <c r="K67" s="35"/>
      <c r="L67" s="5">
        <f>L66*F20</f>
        <v>0.38961038961038957</v>
      </c>
      <c r="M67" s="5" t="s">
        <v>23</v>
      </c>
      <c r="Y67" s="14" t="s">
        <v>489</v>
      </c>
      <c r="Z67" s="14">
        <f>(Z65*Z64*Z63)*Z66</f>
        <v>9.7654859380562495E-2</v>
      </c>
      <c r="AA67" s="14" t="s">
        <v>21</v>
      </c>
      <c r="AC67" s="14" t="s">
        <v>490</v>
      </c>
      <c r="AD67" s="14">
        <f>AD66*F12</f>
        <v>910.80185887489074</v>
      </c>
      <c r="AE67" s="14" t="s">
        <v>119</v>
      </c>
      <c r="AG67" s="5" t="s">
        <v>128</v>
      </c>
      <c r="AH67" s="5">
        <f>AH65*($F$9-$F$8)</f>
        <v>10.751439999999997</v>
      </c>
      <c r="AI67" s="5" t="s">
        <v>33</v>
      </c>
      <c r="AQ67" s="14" t="s">
        <v>491</v>
      </c>
      <c r="AR67" s="14">
        <f>AR64+AR61+AR49+AR37</f>
        <v>2482.4114747729054</v>
      </c>
      <c r="AS67" s="14" t="s">
        <v>119</v>
      </c>
      <c r="AU67" s="43" t="s">
        <v>492</v>
      </c>
      <c r="AV67" s="5">
        <f>1848.9*10^-6</f>
        <v>1.8489000000000001E-3</v>
      </c>
      <c r="AW67" s="5" t="s">
        <v>119</v>
      </c>
    </row>
    <row r="68" spans="8:59" x14ac:dyDescent="0.25">
      <c r="H68" s="14" t="s">
        <v>118</v>
      </c>
      <c r="I68" s="5">
        <f>I67*$F$11</f>
        <v>1175</v>
      </c>
      <c r="J68" s="5" t="s">
        <v>119</v>
      </c>
      <c r="K68" s="37" t="s">
        <v>493</v>
      </c>
      <c r="L68" s="5">
        <f>2</f>
        <v>2</v>
      </c>
      <c r="M68" s="5" t="s">
        <v>8</v>
      </c>
      <c r="AG68" s="5" t="s">
        <v>138</v>
      </c>
      <c r="AH68" s="5">
        <f>AH67*($F$4*10^-2)</f>
        <v>1.1611555199999999</v>
      </c>
      <c r="AI68" s="5" t="s">
        <v>21</v>
      </c>
      <c r="AU68" s="35"/>
      <c r="AV68" s="5">
        <f>AV67/AV66</f>
        <v>1.8488999999999998E-2</v>
      </c>
      <c r="AW68" s="5" t="s">
        <v>494</v>
      </c>
    </row>
    <row r="69" spans="8:59" x14ac:dyDescent="0.25">
      <c r="H69" s="5" t="s">
        <v>128</v>
      </c>
      <c r="I69" s="5">
        <f>I67*($F$9-$F$8)</f>
        <v>1.3723999999999996</v>
      </c>
      <c r="J69" s="5" t="s">
        <v>33</v>
      </c>
      <c r="K69" s="35"/>
      <c r="L69" s="5">
        <f>L68*F20</f>
        <v>1.2987012987012987</v>
      </c>
      <c r="M69" s="5" t="s">
        <v>23</v>
      </c>
      <c r="Y69" s="17" t="s">
        <v>495</v>
      </c>
      <c r="Z69" s="17">
        <f>Z67+Z61+Z54+Z49+Z43+Z37</f>
        <v>0.59315284369368781</v>
      </c>
      <c r="AA69" s="17" t="s">
        <v>21</v>
      </c>
      <c r="AC69" s="5" t="s">
        <v>496</v>
      </c>
      <c r="AD69" s="5"/>
      <c r="AE69" s="5"/>
      <c r="AG69" s="14" t="s">
        <v>150</v>
      </c>
      <c r="AH69" s="5">
        <f>AH68*$F$12</f>
        <v>1973.9643839999999</v>
      </c>
      <c r="AI69" s="5" t="s">
        <v>119</v>
      </c>
      <c r="AU69" s="9" t="s">
        <v>497</v>
      </c>
      <c r="AV69" s="5">
        <f>2206.9*10^-6</f>
        <v>2.2068999999999999E-3</v>
      </c>
      <c r="AW69" s="5" t="s">
        <v>119</v>
      </c>
    </row>
    <row r="70" spans="8:59" x14ac:dyDescent="0.25">
      <c r="H70" s="5" t="s">
        <v>138</v>
      </c>
      <c r="I70" s="5">
        <f>I69*($F$4*10^-2)</f>
        <v>0.14821919999999997</v>
      </c>
      <c r="J70" s="5" t="s">
        <v>21</v>
      </c>
      <c r="K70" s="43" t="s">
        <v>313</v>
      </c>
      <c r="L70" s="5">
        <f>L67*L69</f>
        <v>0.50598751897453187</v>
      </c>
      <c r="M70" s="5" t="s">
        <v>33</v>
      </c>
      <c r="AC70" s="5" t="s">
        <v>498</v>
      </c>
      <c r="AD70" s="5">
        <f>AD20</f>
        <v>0.5</v>
      </c>
      <c r="AE70" s="5" t="s">
        <v>23</v>
      </c>
      <c r="AG70" s="6" t="s">
        <v>499</v>
      </c>
      <c r="AH70" s="4"/>
      <c r="AI70" s="2"/>
      <c r="AU70" s="7"/>
      <c r="AV70" s="5">
        <f>AV69/AV66</f>
        <v>2.2068999999999998E-2</v>
      </c>
      <c r="AW70" s="5" t="s">
        <v>494</v>
      </c>
    </row>
    <row r="71" spans="8:59" x14ac:dyDescent="0.25">
      <c r="H71" s="14" t="s">
        <v>150</v>
      </c>
      <c r="I71" s="5">
        <f>I70*$F$12</f>
        <v>251.97263999999996</v>
      </c>
      <c r="J71" s="5" t="s">
        <v>119</v>
      </c>
      <c r="K71" s="37" t="s">
        <v>500</v>
      </c>
      <c r="L71" s="5">
        <v>0.4</v>
      </c>
      <c r="M71" s="5" t="s">
        <v>8</v>
      </c>
      <c r="AC71" s="5" t="s">
        <v>14</v>
      </c>
      <c r="AD71" s="5">
        <f>AD57</f>
        <v>0.6132075471698113</v>
      </c>
      <c r="AE71" s="5" t="s">
        <v>23</v>
      </c>
      <c r="AG71" s="5" t="s">
        <v>501</v>
      </c>
      <c r="AH71" s="5">
        <f>AH49</f>
        <v>56.089743589743591</v>
      </c>
      <c r="AI71" s="5" t="s">
        <v>33</v>
      </c>
      <c r="AU71" s="37" t="s">
        <v>502</v>
      </c>
      <c r="AV71" s="5">
        <f>1295.5*10^-6</f>
        <v>1.2955E-3</v>
      </c>
      <c r="AW71" s="5" t="s">
        <v>119</v>
      </c>
    </row>
    <row r="72" spans="8:59" x14ac:dyDescent="0.25">
      <c r="H72" s="40" t="s">
        <v>267</v>
      </c>
      <c r="J72" s="44"/>
      <c r="K72" s="35"/>
      <c r="L72" s="5">
        <f>L71*F20</f>
        <v>0.25974025974025977</v>
      </c>
      <c r="M72" s="5" t="s">
        <v>23</v>
      </c>
      <c r="AC72" s="5" t="s">
        <v>124</v>
      </c>
      <c r="AD72" s="5">
        <f>AD71</f>
        <v>0.6132075471698113</v>
      </c>
      <c r="AE72" s="5" t="s">
        <v>23</v>
      </c>
      <c r="AG72" s="5" t="s">
        <v>165</v>
      </c>
      <c r="AH72" s="5">
        <f>R30</f>
        <v>12.5</v>
      </c>
      <c r="AI72" s="5" t="s">
        <v>210</v>
      </c>
      <c r="AU72" s="35"/>
      <c r="AV72" s="5">
        <f>AV71/AV66</f>
        <v>1.2955E-2</v>
      </c>
      <c r="AW72" s="5" t="s">
        <v>494</v>
      </c>
    </row>
    <row r="73" spans="8:59" x14ac:dyDescent="0.25">
      <c r="H73" s="5" t="s">
        <v>136</v>
      </c>
      <c r="I73" s="5">
        <f>I59*I61</f>
        <v>1.2818350480688143</v>
      </c>
      <c r="J73" s="5" t="s">
        <v>33</v>
      </c>
      <c r="K73" s="37" t="s">
        <v>379</v>
      </c>
      <c r="L73" s="5">
        <v>0.4</v>
      </c>
      <c r="M73" s="5" t="s">
        <v>8</v>
      </c>
      <c r="AC73" s="5" t="s">
        <v>503</v>
      </c>
      <c r="AD73" s="5">
        <f>AD72*AD70</f>
        <v>0.30660377358490565</v>
      </c>
      <c r="AE73" s="5" t="s">
        <v>33</v>
      </c>
      <c r="AG73" s="5" t="s">
        <v>504</v>
      </c>
      <c r="AH73" s="5">
        <f>(AH71*2)*AH72*10^-3</f>
        <v>1.4022435897435899</v>
      </c>
      <c r="AI73" s="5" t="s">
        <v>21</v>
      </c>
      <c r="AU73" s="14" t="s">
        <v>505</v>
      </c>
      <c r="AV73" s="14">
        <f>AV68*AV62</f>
        <v>0.50616331118881108</v>
      </c>
      <c r="AW73" s="14" t="s">
        <v>119</v>
      </c>
    </row>
    <row r="74" spans="8:59" x14ac:dyDescent="0.25">
      <c r="H74" s="43" t="s">
        <v>332</v>
      </c>
      <c r="I74" s="5">
        <v>0.4</v>
      </c>
      <c r="J74" s="5" t="s">
        <v>8</v>
      </c>
      <c r="K74" s="43"/>
      <c r="L74" s="5">
        <f>L72</f>
        <v>0.25974025974025977</v>
      </c>
      <c r="M74" s="5" t="s">
        <v>23</v>
      </c>
      <c r="AC74" s="5" t="s">
        <v>506</v>
      </c>
      <c r="AD74" s="5">
        <f>AD73*4</f>
        <v>1.2264150943396226</v>
      </c>
      <c r="AE74" s="5" t="s">
        <v>33</v>
      </c>
      <c r="AG74" s="14" t="s">
        <v>231</v>
      </c>
      <c r="AH74" s="5">
        <f>AH73*F12</f>
        <v>2383.814102564103</v>
      </c>
      <c r="AI74" s="5" t="s">
        <v>119</v>
      </c>
      <c r="AU74" s="14" t="s">
        <v>507</v>
      </c>
      <c r="AV74" s="14">
        <f>AV70*AV62</f>
        <v>0.60417102680652668</v>
      </c>
      <c r="AW74" s="14" t="s">
        <v>119</v>
      </c>
    </row>
    <row r="75" spans="8:59" x14ac:dyDescent="0.25">
      <c r="H75" s="35"/>
      <c r="I75" s="5">
        <f>I74*F20</f>
        <v>0.25974025974025977</v>
      </c>
      <c r="J75" s="5" t="s">
        <v>23</v>
      </c>
      <c r="K75" s="5" t="s">
        <v>311</v>
      </c>
      <c r="L75" s="5">
        <f>L72*L74</f>
        <v>6.7465002529937618E-2</v>
      </c>
      <c r="M75" s="5" t="s">
        <v>33</v>
      </c>
      <c r="AC75" s="5" t="s">
        <v>508</v>
      </c>
      <c r="AD75" s="5">
        <f>AD74/F9</f>
        <v>80.515696844775633</v>
      </c>
      <c r="AE75" s="5"/>
      <c r="AU75" s="14" t="s">
        <v>509</v>
      </c>
      <c r="AV75" s="14">
        <f>AV72*AV62</f>
        <v>0.35466199883449878</v>
      </c>
      <c r="AW75" s="14" t="s">
        <v>119</v>
      </c>
    </row>
    <row r="76" spans="8:59" x14ac:dyDescent="0.25">
      <c r="H76" s="37" t="s">
        <v>314</v>
      </c>
      <c r="I76" s="5">
        <v>0.3</v>
      </c>
      <c r="J76" s="5" t="s">
        <v>8</v>
      </c>
      <c r="K76" s="5" t="s">
        <v>198</v>
      </c>
      <c r="L76" s="5">
        <v>2</v>
      </c>
      <c r="M76" s="5"/>
      <c r="AC76" s="5" t="s">
        <v>260</v>
      </c>
      <c r="AD76" s="5">
        <f>ROUND(AD75,0)</f>
        <v>81</v>
      </c>
      <c r="AE76" s="5" t="s">
        <v>250</v>
      </c>
    </row>
    <row r="77" spans="8:59" x14ac:dyDescent="0.25">
      <c r="H77" s="35"/>
      <c r="I77" s="5">
        <f>I76*F20</f>
        <v>0.19480519480519479</v>
      </c>
      <c r="J77" s="5" t="s">
        <v>23</v>
      </c>
      <c r="K77" s="5" t="s">
        <v>311</v>
      </c>
      <c r="L77" s="5">
        <f>L75*L76</f>
        <v>0.13493000505987524</v>
      </c>
      <c r="M77" s="5" t="s">
        <v>33</v>
      </c>
      <c r="AC77" s="5" t="s">
        <v>510</v>
      </c>
      <c r="AD77" s="5">
        <f>AD76*F8</f>
        <v>0.99727200000000016</v>
      </c>
      <c r="AE77" s="5" t="s">
        <v>33</v>
      </c>
    </row>
    <row r="78" spans="8:59" x14ac:dyDescent="0.25">
      <c r="H78" s="5" t="s">
        <v>511</v>
      </c>
      <c r="I78" s="5">
        <v>12</v>
      </c>
      <c r="J78" s="5"/>
      <c r="K78" s="36" t="s">
        <v>512</v>
      </c>
      <c r="L78" s="5">
        <v>1.1000000000000001</v>
      </c>
      <c r="M78" s="5" t="s">
        <v>8</v>
      </c>
      <c r="AC78" s="14" t="s">
        <v>513</v>
      </c>
      <c r="AD78" s="14">
        <f>AD76*F11</f>
        <v>202.5</v>
      </c>
      <c r="AE78" s="14" t="s">
        <v>119</v>
      </c>
    </row>
    <row r="79" spans="8:59" x14ac:dyDescent="0.25">
      <c r="H79" s="14" t="s">
        <v>276</v>
      </c>
      <c r="I79" s="5">
        <f>(I75*I77)*I78</f>
        <v>0.60718502276943842</v>
      </c>
      <c r="J79" s="5" t="s">
        <v>33</v>
      </c>
      <c r="K79" s="36"/>
      <c r="L79" s="5">
        <f>L78*F20</f>
        <v>0.7142857142857143</v>
      </c>
      <c r="M79" s="5" t="s">
        <v>23</v>
      </c>
      <c r="AC79" s="5" t="s">
        <v>262</v>
      </c>
      <c r="AD79" s="5">
        <f>AD74-AD77</f>
        <v>0.22914309433962243</v>
      </c>
      <c r="AE79" s="5" t="s">
        <v>33</v>
      </c>
    </row>
    <row r="80" spans="8:59" x14ac:dyDescent="0.25">
      <c r="H80" s="14" t="s">
        <v>302</v>
      </c>
      <c r="I80" s="5">
        <f>I73-I79</f>
        <v>0.6746500252993759</v>
      </c>
      <c r="J80" s="5" t="s">
        <v>33</v>
      </c>
      <c r="K80" s="5" t="s">
        <v>136</v>
      </c>
      <c r="L80" s="5">
        <f>L79*L74</f>
        <v>0.1855287569573284</v>
      </c>
      <c r="M80" s="5" t="s">
        <v>33</v>
      </c>
      <c r="AC80" s="5" t="s">
        <v>274</v>
      </c>
      <c r="AD80" s="5">
        <f>AD79*(F4*10^-2)</f>
        <v>2.4747454188679227E-2</v>
      </c>
      <c r="AE80" s="5" t="s">
        <v>21</v>
      </c>
    </row>
    <row r="81" spans="1:48" x14ac:dyDescent="0.25">
      <c r="H81" s="46" t="s">
        <v>414</v>
      </c>
      <c r="J81" s="44"/>
      <c r="K81" s="5" t="s">
        <v>276</v>
      </c>
      <c r="L81" s="5">
        <f>L80+L77</f>
        <v>0.32045876201720364</v>
      </c>
      <c r="M81" s="5" t="s">
        <v>33</v>
      </c>
      <c r="AC81" s="14" t="s">
        <v>514</v>
      </c>
      <c r="AD81" s="14">
        <f>AD80*F12</f>
        <v>42.070672120754686</v>
      </c>
      <c r="AE81" s="14" t="s">
        <v>52</v>
      </c>
    </row>
    <row r="82" spans="1:48" x14ac:dyDescent="0.25">
      <c r="H82" s="5" t="s">
        <v>421</v>
      </c>
      <c r="I82" s="5">
        <f>I23-I66-I73</f>
        <v>5.8019902175746338</v>
      </c>
      <c r="J82" s="5" t="s">
        <v>33</v>
      </c>
      <c r="K82" s="5" t="s">
        <v>178</v>
      </c>
      <c r="L82" s="5">
        <f>L70-L81</f>
        <v>0.18552875695732823</v>
      </c>
      <c r="M82" s="5" t="s">
        <v>33</v>
      </c>
    </row>
    <row r="83" spans="1:48" x14ac:dyDescent="0.25">
      <c r="H83" s="14" t="s">
        <v>179</v>
      </c>
      <c r="I83" s="5">
        <f>I82*($J$2*10^-2)</f>
        <v>0.9863383369876878</v>
      </c>
      <c r="J83" s="5" t="s">
        <v>21</v>
      </c>
      <c r="AC83" s="14" t="s">
        <v>515</v>
      </c>
      <c r="AD83" s="14">
        <f>AD64+AD48+AD78</f>
        <v>6295</v>
      </c>
      <c r="AE83" s="14" t="s">
        <v>119</v>
      </c>
    </row>
    <row r="84" spans="1:48" x14ac:dyDescent="0.25">
      <c r="AC84" s="14" t="s">
        <v>516</v>
      </c>
      <c r="AD84" s="14">
        <f>AD67+AD52+AD81</f>
        <v>1348.5231869956456</v>
      </c>
      <c r="AE84" s="14" t="s">
        <v>119</v>
      </c>
    </row>
    <row r="86" spans="1:48" x14ac:dyDescent="0.25">
      <c r="A86" s="30"/>
      <c r="B86" s="30"/>
      <c r="C86" s="30"/>
      <c r="D86" s="30"/>
      <c r="E86" s="30"/>
      <c r="F86" s="30"/>
      <c r="G86" s="30"/>
      <c r="H86" s="30"/>
      <c r="I86" s="30"/>
      <c r="J86" s="30"/>
      <c r="K86" s="30"/>
      <c r="L86" s="30"/>
      <c r="M86" s="30"/>
      <c r="N86" s="30"/>
      <c r="O86" s="30"/>
      <c r="P86" s="30"/>
      <c r="Q86" s="30"/>
      <c r="R86" s="30"/>
      <c r="S86" s="30"/>
      <c r="T86" s="30"/>
      <c r="U86" s="30"/>
      <c r="V86" s="30"/>
      <c r="W86" s="30"/>
      <c r="X86" s="30"/>
      <c r="Y86" s="30"/>
      <c r="Z86" s="30"/>
      <c r="AA86" s="30"/>
      <c r="AB86" s="30"/>
      <c r="AC86" s="30"/>
      <c r="AD86" s="30"/>
      <c r="AE86" s="30"/>
      <c r="AF86" s="30"/>
      <c r="AG86" s="30"/>
      <c r="AH86" s="30"/>
      <c r="AI86" s="30"/>
      <c r="AJ86" s="30"/>
      <c r="AK86" s="30"/>
      <c r="AL86" s="30"/>
      <c r="AM86" s="30"/>
      <c r="AN86" s="30"/>
      <c r="AO86" s="30"/>
      <c r="AP86" s="30"/>
      <c r="AQ86" s="30"/>
      <c r="AR86" s="30"/>
      <c r="AS86" s="30"/>
      <c r="AT86" s="30"/>
      <c r="AU86" s="30"/>
      <c r="AV86" s="30"/>
    </row>
    <row r="89" spans="1:48" x14ac:dyDescent="0.25">
      <c r="A89" s="17" t="s">
        <v>517</v>
      </c>
      <c r="T89" t="s">
        <v>9</v>
      </c>
      <c r="U89">
        <f>B4</f>
        <v>1830</v>
      </c>
    </row>
    <row r="90" spans="1:48" x14ac:dyDescent="0.25">
      <c r="A90" s="17" t="s">
        <v>518</v>
      </c>
      <c r="T90" t="s">
        <v>519</v>
      </c>
      <c r="U90">
        <v>2022</v>
      </c>
    </row>
    <row r="91" spans="1:48" x14ac:dyDescent="0.25">
      <c r="A91" t="s">
        <v>520</v>
      </c>
      <c r="B91">
        <f>B45-B26</f>
        <v>48.01117685733071</v>
      </c>
      <c r="C91" t="s">
        <v>33</v>
      </c>
      <c r="D91" t="s">
        <v>521</v>
      </c>
      <c r="E91">
        <v>5.085</v>
      </c>
      <c r="F91" t="s">
        <v>522</v>
      </c>
      <c r="G91">
        <v>2</v>
      </c>
      <c r="T91" t="s">
        <v>523</v>
      </c>
      <c r="U91">
        <f>U90-U89</f>
        <v>192</v>
      </c>
    </row>
    <row r="92" spans="1:48" x14ac:dyDescent="0.25">
      <c r="J92" s="17" t="s">
        <v>524</v>
      </c>
    </row>
    <row r="93" spans="1:48" x14ac:dyDescent="0.25">
      <c r="J93" s="17" t="s">
        <v>518</v>
      </c>
    </row>
    <row r="94" spans="1:48" x14ac:dyDescent="0.25">
      <c r="A94" s="58" t="s">
        <v>525</v>
      </c>
      <c r="B94" s="58" t="s">
        <v>526</v>
      </c>
      <c r="C94" s="58" t="s">
        <v>198</v>
      </c>
      <c r="D94" s="58" t="s">
        <v>527</v>
      </c>
      <c r="E94" s="58" t="s">
        <v>528</v>
      </c>
      <c r="F94" s="58" t="s">
        <v>529</v>
      </c>
      <c r="G94" s="58" t="s">
        <v>530</v>
      </c>
    </row>
    <row r="95" spans="1:48" x14ac:dyDescent="0.25">
      <c r="A95" s="59" t="s">
        <v>64</v>
      </c>
      <c r="B95" s="59"/>
      <c r="C95" s="59"/>
      <c r="D95" s="59"/>
      <c r="E95" s="59"/>
      <c r="F95" s="59"/>
      <c r="G95" s="59"/>
      <c r="J95" s="58" t="s">
        <v>525</v>
      </c>
      <c r="K95" s="58" t="s">
        <v>526</v>
      </c>
      <c r="L95" s="58" t="s">
        <v>198</v>
      </c>
      <c r="M95" s="58" t="s">
        <v>527</v>
      </c>
      <c r="N95" s="58" t="s">
        <v>531</v>
      </c>
      <c r="O95" s="58" t="s">
        <v>528</v>
      </c>
      <c r="P95" s="58" t="s">
        <v>529</v>
      </c>
      <c r="Q95" s="58" t="s">
        <v>530</v>
      </c>
    </row>
    <row r="96" spans="1:48" x14ac:dyDescent="0.25">
      <c r="A96" s="58" t="s">
        <v>532</v>
      </c>
      <c r="B96" t="s">
        <v>533</v>
      </c>
      <c r="C96" s="60">
        <f>AR66</f>
        <v>16316.104493376457</v>
      </c>
      <c r="D96" t="s">
        <v>119</v>
      </c>
      <c r="E96" s="61">
        <f>C96/$B$91/$BJ$4</f>
        <v>2.7187176922342307</v>
      </c>
      <c r="G96" s="62">
        <f>E96/($E$91*$G$91)</f>
        <v>0.26732720670936388</v>
      </c>
      <c r="J96" s="63" t="s">
        <v>534</v>
      </c>
      <c r="K96" s="64"/>
      <c r="L96" s="64"/>
      <c r="M96" s="64"/>
      <c r="N96" s="64"/>
      <c r="O96" s="65"/>
      <c r="P96" s="66"/>
      <c r="Q96" s="59"/>
    </row>
    <row r="97" spans="1:17" x14ac:dyDescent="0.25">
      <c r="A97" s="58" t="s">
        <v>535</v>
      </c>
      <c r="B97" t="s">
        <v>536</v>
      </c>
      <c r="C97" s="60">
        <f>AR67</f>
        <v>2482.4114747729054</v>
      </c>
      <c r="D97" t="s">
        <v>119</v>
      </c>
      <c r="E97" s="61">
        <f>C97/$B$91/$BJ$4</f>
        <v>0.41363892947670944</v>
      </c>
      <c r="G97" s="62">
        <f>E97/($E$91*$G$91)</f>
        <v>4.0672461108820987E-2</v>
      </c>
      <c r="J97" s="58" t="s">
        <v>537</v>
      </c>
      <c r="K97" t="s">
        <v>538</v>
      </c>
      <c r="L97" s="60">
        <f>C101*BG42</f>
        <v>1882.8253439999994</v>
      </c>
      <c r="M97" t="s">
        <v>52</v>
      </c>
      <c r="N97" t="str">
        <f>BD42</f>
        <v>Exterior wall, plaster, tegl</v>
      </c>
      <c r="O97" s="61">
        <f>L97/$B$91/$BJ$4</f>
        <v>0.31373117132204026</v>
      </c>
      <c r="P97" s="67"/>
      <c r="Q97" s="61">
        <f>O97/($E$91*$G$91)</f>
        <v>3.0848689412196682E-2</v>
      </c>
    </row>
    <row r="98" spans="1:17" x14ac:dyDescent="0.25">
      <c r="C98" s="68"/>
      <c r="E98" s="69"/>
      <c r="G98" s="62"/>
      <c r="J98" s="58" t="s">
        <v>177</v>
      </c>
      <c r="K98" t="s">
        <v>539</v>
      </c>
      <c r="L98" s="60">
        <f>C102*BG17</f>
        <v>6.7686894923258567</v>
      </c>
      <c r="M98" t="s">
        <v>21</v>
      </c>
      <c r="N98" t="str">
        <f>BD17</f>
        <v xml:space="preserve">Bindingsværks bjælker </v>
      </c>
      <c r="O98" s="61">
        <f>L98/$B$91/$BJ$4</f>
        <v>1.1278522936339747E-3</v>
      </c>
      <c r="Q98" s="61">
        <f t="shared" ref="Q98:Q99" si="0">O98/($E$91*$G$91)</f>
        <v>1.1089993054414697E-4</v>
      </c>
    </row>
    <row r="99" spans="1:17" x14ac:dyDescent="0.25">
      <c r="A99" s="59" t="s">
        <v>534</v>
      </c>
      <c r="B99" s="70"/>
      <c r="C99" s="71"/>
      <c r="D99" s="70"/>
      <c r="E99" s="70"/>
      <c r="F99" s="70"/>
      <c r="G99" s="72"/>
      <c r="J99" s="58" t="s">
        <v>540</v>
      </c>
      <c r="K99" t="s">
        <v>536</v>
      </c>
      <c r="L99" s="60">
        <f>C103*BG43</f>
        <v>2273.7965930173723</v>
      </c>
      <c r="M99" t="s">
        <v>52</v>
      </c>
      <c r="N99" t="str">
        <f>BD43</f>
        <v>Exterior wall, plaster, kalkmørtel</v>
      </c>
      <c r="O99" s="61">
        <f>L99/$B$91/$BJ$4</f>
        <v>0.37887787667011819</v>
      </c>
      <c r="Q99" s="61">
        <f t="shared" si="0"/>
        <v>3.725446181613748E-2</v>
      </c>
    </row>
    <row r="100" spans="1:17" x14ac:dyDescent="0.25">
      <c r="A100" s="58" t="s">
        <v>260</v>
      </c>
      <c r="B100" t="s">
        <v>541</v>
      </c>
      <c r="C100" s="60">
        <f>R34</f>
        <v>8780</v>
      </c>
      <c r="D100" t="s">
        <v>52</v>
      </c>
      <c r="E100" s="61">
        <f>C100/$B$91/$BJ$4</f>
        <v>1.462992673741869</v>
      </c>
      <c r="G100" s="62">
        <f>E100/($E$91*$G$91)</f>
        <v>0.14385375356360561</v>
      </c>
      <c r="L100" s="68"/>
      <c r="O100" s="61"/>
      <c r="Q100" s="61"/>
    </row>
    <row r="101" spans="1:17" x14ac:dyDescent="0.25">
      <c r="A101" s="58" t="s">
        <v>537</v>
      </c>
      <c r="B101" t="s">
        <v>538</v>
      </c>
      <c r="C101" s="60">
        <f>R35</f>
        <v>1882.8253439999994</v>
      </c>
      <c r="D101" t="s">
        <v>52</v>
      </c>
      <c r="E101" s="61">
        <f>C101/$B$91/$BJ$4</f>
        <v>0.31373117132204026</v>
      </c>
      <c r="G101" s="62">
        <f>E101/($E$91*$G$91)</f>
        <v>3.0848689412196682E-2</v>
      </c>
      <c r="J101" s="59" t="s">
        <v>542</v>
      </c>
      <c r="K101" s="59"/>
      <c r="L101" s="71"/>
      <c r="M101" s="59"/>
      <c r="N101" s="59"/>
      <c r="O101" s="70"/>
      <c r="P101" s="59"/>
      <c r="Q101" s="70"/>
    </row>
    <row r="102" spans="1:17" x14ac:dyDescent="0.25">
      <c r="A102" s="58" t="s">
        <v>177</v>
      </c>
      <c r="B102" t="s">
        <v>539</v>
      </c>
      <c r="C102" s="60">
        <f>R36</f>
        <v>6.7686894923258567</v>
      </c>
      <c r="D102" t="s">
        <v>21</v>
      </c>
      <c r="E102" s="61">
        <f>C102/$B$91/$BJ$4</f>
        <v>1.1278522936339747E-3</v>
      </c>
      <c r="G102" s="62">
        <f>E102/($E$91*$G$91)</f>
        <v>1.1089993054414697E-4</v>
      </c>
      <c r="J102" s="58" t="s">
        <v>540</v>
      </c>
      <c r="K102" t="s">
        <v>538</v>
      </c>
      <c r="L102" s="60">
        <f>C106*BG44</f>
        <v>29.161536515432623</v>
      </c>
      <c r="M102" t="s">
        <v>52</v>
      </c>
      <c r="N102" t="str">
        <f>BD44</f>
        <v>Interior wall, plaster, kalkmørtel</v>
      </c>
      <c r="O102" s="61">
        <f>L102/$B$91/$BJ$4</f>
        <v>4.85912463293097E-3</v>
      </c>
      <c r="Q102" s="61">
        <f t="shared" ref="Q102" si="1">O102/($E$91*$G$91)</f>
        <v>4.7779003273657524E-4</v>
      </c>
    </row>
    <row r="103" spans="1:17" x14ac:dyDescent="0.25">
      <c r="A103" s="58" t="s">
        <v>540</v>
      </c>
      <c r="B103" t="s">
        <v>536</v>
      </c>
      <c r="C103" s="60">
        <f>R32</f>
        <v>1136.8982965086861</v>
      </c>
      <c r="D103" t="s">
        <v>52</v>
      </c>
      <c r="E103" s="61">
        <f>C103/$B$91/$BJ$4</f>
        <v>0.18943893833505909</v>
      </c>
      <c r="G103" s="62">
        <f>E103/($E$91*$G$91)</f>
        <v>1.862723090806874E-2</v>
      </c>
      <c r="L103" s="68"/>
      <c r="O103" s="61"/>
      <c r="Q103" s="61"/>
    </row>
    <row r="104" spans="1:17" x14ac:dyDescent="0.25">
      <c r="C104" s="68"/>
      <c r="E104" s="69"/>
      <c r="G104" s="62"/>
      <c r="J104" s="59" t="s">
        <v>543</v>
      </c>
      <c r="K104" s="59"/>
      <c r="L104" s="71"/>
      <c r="M104" s="59"/>
      <c r="N104" s="59"/>
      <c r="O104" s="70"/>
      <c r="P104" s="59"/>
      <c r="Q104" s="70"/>
    </row>
    <row r="105" spans="1:17" x14ac:dyDescent="0.25">
      <c r="A105" s="59" t="s">
        <v>542</v>
      </c>
      <c r="B105" s="59"/>
      <c r="C105" s="71"/>
      <c r="D105" s="59"/>
      <c r="E105" s="73"/>
      <c r="F105" s="59"/>
      <c r="G105" s="72"/>
      <c r="J105" s="58" t="s">
        <v>544</v>
      </c>
      <c r="K105" t="s">
        <v>545</v>
      </c>
      <c r="L105" s="60">
        <f>C109*BG23</f>
        <v>9.9591836734693882</v>
      </c>
      <c r="M105" t="s">
        <v>33</v>
      </c>
      <c r="N105" t="str">
        <f>BD23</f>
        <v>Front door, wood</v>
      </c>
      <c r="O105" s="61">
        <f>L105/$B$91/$BJ$4</f>
        <v>1.6594775342523176E-3</v>
      </c>
      <c r="Q105" s="61">
        <f t="shared" ref="Q105" si="2">O105/($E$91*$G$91)</f>
        <v>1.6317379884486899E-4</v>
      </c>
    </row>
    <row r="106" spans="1:17" x14ac:dyDescent="0.25">
      <c r="A106" s="58" t="s">
        <v>540</v>
      </c>
      <c r="B106" t="s">
        <v>538</v>
      </c>
      <c r="C106" s="60">
        <f>R52</f>
        <v>14.580768257716311</v>
      </c>
      <c r="D106" t="s">
        <v>52</v>
      </c>
      <c r="E106" s="61">
        <f>C106/$B$91/$BJ$4</f>
        <v>2.429562316465485E-3</v>
      </c>
      <c r="G106" s="62">
        <f>E106/($E$91*$G$91)</f>
        <v>2.3889501636828762E-4</v>
      </c>
      <c r="L106">
        <f>C110*BG23</f>
        <v>0.39836734693877551</v>
      </c>
      <c r="M106" t="s">
        <v>21</v>
      </c>
    </row>
    <row r="107" spans="1:17" x14ac:dyDescent="0.25">
      <c r="C107" s="68"/>
      <c r="E107" s="69"/>
      <c r="G107" s="62"/>
      <c r="J107" s="58" t="s">
        <v>546</v>
      </c>
      <c r="K107" t="s">
        <v>545</v>
      </c>
      <c r="L107" s="60">
        <f>C111*BG26</f>
        <v>22.781065088757408</v>
      </c>
      <c r="M107" t="s">
        <v>33</v>
      </c>
      <c r="N107" t="str">
        <f>BD26</f>
        <v>Interior door, ældet træ</v>
      </c>
      <c r="O107" s="61">
        <f>L107/$B$91/$BJ$4</f>
        <v>3.7959602875727505E-3</v>
      </c>
      <c r="Q107" s="61">
        <f>O107/($E$91*$G$91)</f>
        <v>3.7325076573970016E-4</v>
      </c>
    </row>
    <row r="108" spans="1:17" x14ac:dyDescent="0.25">
      <c r="A108" s="59" t="s">
        <v>543</v>
      </c>
      <c r="B108" s="59"/>
      <c r="C108" s="71"/>
      <c r="D108" s="59"/>
      <c r="E108" s="73"/>
      <c r="F108" s="59"/>
      <c r="G108" s="72"/>
      <c r="L108">
        <f>C112*BG26</f>
        <v>0.9112426035502964</v>
      </c>
      <c r="M108" t="s">
        <v>21</v>
      </c>
    </row>
    <row r="109" spans="1:17" x14ac:dyDescent="0.25">
      <c r="A109" s="58" t="s">
        <v>544</v>
      </c>
      <c r="B109" t="s">
        <v>545</v>
      </c>
      <c r="C109" s="60">
        <f>R42</f>
        <v>4.9795918367346941</v>
      </c>
      <c r="D109" t="s">
        <v>33</v>
      </c>
      <c r="E109" s="61">
        <f>C109/$B$91/$BJ$4</f>
        <v>8.2973876712615882E-4</v>
      </c>
      <c r="G109" s="62">
        <f>E109/($E$91*$G$91)</f>
        <v>8.1586899422434494E-5</v>
      </c>
      <c r="J109" s="58" t="s">
        <v>547</v>
      </c>
      <c r="K109" t="s">
        <v>545</v>
      </c>
      <c r="L109" s="60">
        <f>C113*BG25</f>
        <v>7.2862202732332628</v>
      </c>
      <c r="M109" t="s">
        <v>33</v>
      </c>
      <c r="N109" t="str">
        <f>BD25</f>
        <v xml:space="preserve">Window frame, Konstruktionstræ </v>
      </c>
      <c r="O109" s="61">
        <f>L109/$B$91/$BJ$4</f>
        <v>1.2140873438507679E-3</v>
      </c>
      <c r="Q109" s="61">
        <f>O109/($E$91*$G$91)</f>
        <v>1.1937928651433313E-4</v>
      </c>
    </row>
    <row r="110" spans="1:17" x14ac:dyDescent="0.25">
      <c r="C110">
        <f>R43</f>
        <v>0.19918367346938776</v>
      </c>
      <c r="D110" t="s">
        <v>21</v>
      </c>
      <c r="H110" s="68"/>
      <c r="L110">
        <f>C114*BG25</f>
        <v>0.14572440546466525</v>
      </c>
      <c r="M110" t="s">
        <v>21</v>
      </c>
    </row>
    <row r="111" spans="1:17" x14ac:dyDescent="0.25">
      <c r="A111" s="58" t="s">
        <v>546</v>
      </c>
      <c r="B111" t="s">
        <v>545</v>
      </c>
      <c r="C111" s="60">
        <f>AH47</f>
        <v>11.390532544378704</v>
      </c>
      <c r="D111" t="s">
        <v>33</v>
      </c>
      <c r="E111" s="61">
        <f>C111/$B$91/$BJ$4</f>
        <v>1.8979801437863752E-3</v>
      </c>
      <c r="G111" s="62">
        <f>E111/($E$91*$G$91)</f>
        <v>1.8662538286985008E-4</v>
      </c>
      <c r="H111" s="68"/>
      <c r="J111" s="58" t="s">
        <v>157</v>
      </c>
      <c r="K111" t="s">
        <v>511</v>
      </c>
      <c r="L111" s="60">
        <f>C115*BG24</f>
        <v>95.597908584921527</v>
      </c>
      <c r="M111" t="s">
        <v>119</v>
      </c>
      <c r="N111" t="str">
        <f>BD24</f>
        <v>Window glass</v>
      </c>
      <c r="O111" s="61">
        <f>L111/$B$91/$BJ$4</f>
        <v>1.5929275613301267E-2</v>
      </c>
      <c r="Q111" s="61">
        <f>O111/($E$91*$G$91)</f>
        <v>1.5663004536186104E-3</v>
      </c>
    </row>
    <row r="112" spans="1:17" x14ac:dyDescent="0.25">
      <c r="C112" s="60">
        <f>AH48</f>
        <v>0.4556213017751482</v>
      </c>
      <c r="D112" t="s">
        <v>21</v>
      </c>
      <c r="L112" s="68"/>
      <c r="O112" s="61"/>
      <c r="Q112" s="61"/>
    </row>
    <row r="113" spans="1:17" x14ac:dyDescent="0.25">
      <c r="A113" s="58" t="s">
        <v>547</v>
      </c>
      <c r="B113" t="s">
        <v>545</v>
      </c>
      <c r="C113" s="60">
        <f>R40</f>
        <v>3.6431101366166314</v>
      </c>
      <c r="D113" t="s">
        <v>33</v>
      </c>
      <c r="E113" s="61">
        <f>C113/$B$91/$BJ$4</f>
        <v>6.0704367192538397E-4</v>
      </c>
      <c r="G113" s="62">
        <f>E113/($E$91*$G$91)</f>
        <v>5.9689643257166565E-5</v>
      </c>
      <c r="J113" s="59" t="s">
        <v>73</v>
      </c>
      <c r="K113" s="59"/>
      <c r="L113" s="71"/>
      <c r="M113" s="59"/>
      <c r="N113" s="59"/>
      <c r="O113" s="70"/>
      <c r="P113" s="59"/>
      <c r="Q113" s="70"/>
    </row>
    <row r="114" spans="1:17" x14ac:dyDescent="0.25">
      <c r="C114">
        <f>R41</f>
        <v>7.2862202732332626E-2</v>
      </c>
      <c r="D114" t="s">
        <v>21</v>
      </c>
      <c r="J114" s="58" t="s">
        <v>260</v>
      </c>
      <c r="K114" t="s">
        <v>541</v>
      </c>
      <c r="L114" s="60">
        <f>C118*BG47</f>
        <v>9205</v>
      </c>
      <c r="M114" t="s">
        <v>119</v>
      </c>
      <c r="N114" t="str">
        <f>BD47</f>
        <v>Interior wall, Tegl</v>
      </c>
      <c r="O114" s="61">
        <f>L114/$B$91/$BJ$4</f>
        <v>1.5338095172885997</v>
      </c>
      <c r="Q114" s="61">
        <f t="shared" ref="Q114:Q117" si="3">O114/($E$91*$G$91)</f>
        <v>0.15081706168029496</v>
      </c>
    </row>
    <row r="115" spans="1:17" x14ac:dyDescent="0.25">
      <c r="A115" s="58" t="s">
        <v>157</v>
      </c>
      <c r="B115" t="s">
        <v>511</v>
      </c>
      <c r="C115" s="60">
        <f>R39</f>
        <v>47.798954292460763</v>
      </c>
      <c r="D115" t="s">
        <v>119</v>
      </c>
      <c r="E115" s="61">
        <f>C115/$B$91/$BJ$4</f>
        <v>7.9646378066506335E-3</v>
      </c>
      <c r="G115" s="62">
        <f t="shared" ref="G115" si="4">E115/($E$91*$G$91)</f>
        <v>7.831502268093052E-4</v>
      </c>
      <c r="J115" s="58" t="s">
        <v>537</v>
      </c>
      <c r="K115" t="s">
        <v>538</v>
      </c>
      <c r="L115" s="60">
        <f>C119*BG47</f>
        <v>1973.9643839999999</v>
      </c>
      <c r="M115" t="s">
        <v>119</v>
      </c>
      <c r="N115" t="str">
        <f>BD47</f>
        <v>Interior wall, Tegl</v>
      </c>
      <c r="O115" s="61">
        <f>L115/$B$91/$BJ$4</f>
        <v>0.32891747517305026</v>
      </c>
      <c r="Q115" s="61">
        <f t="shared" si="3"/>
        <v>3.2341934628618514E-2</v>
      </c>
    </row>
    <row r="116" spans="1:17" x14ac:dyDescent="0.25">
      <c r="C116" s="68"/>
      <c r="E116" s="69"/>
      <c r="G116" s="62"/>
      <c r="J116" s="58" t="s">
        <v>177</v>
      </c>
      <c r="K116" t="s">
        <v>539</v>
      </c>
      <c r="L116" s="60">
        <f>C120*BG17</f>
        <v>1.7337628717948723</v>
      </c>
      <c r="M116" t="s">
        <v>21</v>
      </c>
      <c r="N116" t="str">
        <f>BD17</f>
        <v xml:space="preserve">Bindingsværks bjælker </v>
      </c>
      <c r="O116" s="61">
        <f>L116/$B$91/$BJ$4</f>
        <v>2.8889320950359473E-4</v>
      </c>
      <c r="Q116" s="61">
        <f t="shared" si="3"/>
        <v>2.8406411947256118E-5</v>
      </c>
    </row>
    <row r="117" spans="1:17" x14ac:dyDescent="0.25">
      <c r="A117" s="59" t="s">
        <v>73</v>
      </c>
      <c r="B117" s="59"/>
      <c r="C117" s="71"/>
      <c r="D117" s="59"/>
      <c r="E117" s="73"/>
      <c r="F117" s="59"/>
      <c r="G117" s="72"/>
      <c r="J117" s="58" t="s">
        <v>540</v>
      </c>
      <c r="K117" t="s">
        <v>538</v>
      </c>
      <c r="L117" s="60">
        <f>C121*BG44</f>
        <v>4767.628205128206</v>
      </c>
      <c r="M117" t="s">
        <v>119</v>
      </c>
      <c r="N117" t="str">
        <f>BD44</f>
        <v>Interior wall, plaster, kalkmørtel</v>
      </c>
      <c r="O117" s="61">
        <f>L117/$B$91/$BJ$4</f>
        <v>0.79441971927422117</v>
      </c>
      <c r="Q117" s="61">
        <f t="shared" si="3"/>
        <v>7.8114033360297069E-2</v>
      </c>
    </row>
    <row r="118" spans="1:17" x14ac:dyDescent="0.25">
      <c r="A118" s="58" t="s">
        <v>260</v>
      </c>
      <c r="B118" t="s">
        <v>541</v>
      </c>
      <c r="C118" s="60">
        <f>AH66</f>
        <v>9205</v>
      </c>
      <c r="D118" t="s">
        <v>119</v>
      </c>
      <c r="E118" s="61">
        <f>C118/$B$91/$BJ$4</f>
        <v>1.5338095172885997</v>
      </c>
      <c r="G118" s="62">
        <f>E118/($E$91*$G$91)</f>
        <v>0.15081706168029496</v>
      </c>
      <c r="L118" s="68"/>
      <c r="O118" s="61"/>
      <c r="Q118" s="61"/>
    </row>
    <row r="119" spans="1:17" x14ac:dyDescent="0.25">
      <c r="A119" s="58" t="s">
        <v>537</v>
      </c>
      <c r="B119" t="s">
        <v>538</v>
      </c>
      <c r="C119" s="60">
        <f>AH69</f>
        <v>1973.9643839999999</v>
      </c>
      <c r="D119" t="s">
        <v>119</v>
      </c>
      <c r="E119" s="61">
        <f>C119/$B$91/$BJ$4</f>
        <v>0.32891747517305026</v>
      </c>
      <c r="G119" s="62">
        <f t="shared" ref="G119:G121" si="5">E119/($E$91*$G$91)</f>
        <v>3.2341934628618514E-2</v>
      </c>
      <c r="J119" s="59" t="s">
        <v>548</v>
      </c>
      <c r="K119" s="59"/>
      <c r="L119" s="71"/>
      <c r="M119" s="59"/>
      <c r="N119" s="59"/>
      <c r="O119" s="70"/>
      <c r="P119" s="59"/>
      <c r="Q119" s="70"/>
    </row>
    <row r="120" spans="1:17" x14ac:dyDescent="0.25">
      <c r="A120" s="58" t="s">
        <v>177</v>
      </c>
      <c r="B120" t="s">
        <v>539</v>
      </c>
      <c r="C120" s="60">
        <f>AH62</f>
        <v>1.7337628717948723</v>
      </c>
      <c r="D120" t="s">
        <v>21</v>
      </c>
      <c r="E120" s="61">
        <f>C120/$B$91/$BJ$4</f>
        <v>2.8889320950359473E-4</v>
      </c>
      <c r="G120" s="62">
        <f t="shared" si="5"/>
        <v>2.8406411947256118E-5</v>
      </c>
      <c r="J120" s="58" t="s">
        <v>549</v>
      </c>
      <c r="K120" t="s">
        <v>539</v>
      </c>
      <c r="L120" s="60">
        <f>C124*BG13</f>
        <v>1.7636410256410258</v>
      </c>
      <c r="M120" t="s">
        <v>21</v>
      </c>
      <c r="N120" t="str">
        <f>BD13</f>
        <v>Horisontal devition, wood</v>
      </c>
      <c r="O120" s="61">
        <f>L120/$B$91/$BJ$4</f>
        <v>2.9387174255391985E-4</v>
      </c>
      <c r="Q120" s="61">
        <f t="shared" ref="Q120:Q125" si="6">O120/($E$91*$G$91)</f>
        <v>2.8895943220641088E-5</v>
      </c>
    </row>
    <row r="121" spans="1:17" x14ac:dyDescent="0.25">
      <c r="A121" s="58" t="s">
        <v>540</v>
      </c>
      <c r="B121" t="s">
        <v>538</v>
      </c>
      <c r="C121" s="60">
        <f>AH74</f>
        <v>2383.814102564103</v>
      </c>
      <c r="D121" t="s">
        <v>119</v>
      </c>
      <c r="E121" s="61">
        <f>C121/$B$91/$BJ$4</f>
        <v>0.39720985963711058</v>
      </c>
      <c r="G121" s="62">
        <f t="shared" si="5"/>
        <v>3.9057016680148535E-2</v>
      </c>
      <c r="J121" s="58" t="s">
        <v>550</v>
      </c>
      <c r="K121" t="s">
        <v>539</v>
      </c>
      <c r="L121" s="60">
        <f>C125*BG36</f>
        <v>2.2368435923734387</v>
      </c>
      <c r="M121" t="s">
        <v>21</v>
      </c>
      <c r="N121" t="str">
        <f>BD36</f>
        <v>Celling, uklassificeret træ</v>
      </c>
      <c r="O121" s="61">
        <f>L121/$B$91/$BJ$4</f>
        <v>3.7272047698733309E-4</v>
      </c>
      <c r="Q121" s="61">
        <f t="shared" si="6"/>
        <v>3.664901445303177E-5</v>
      </c>
    </row>
    <row r="122" spans="1:17" x14ac:dyDescent="0.25">
      <c r="C122" s="60"/>
      <c r="E122" s="69"/>
      <c r="G122" s="62"/>
      <c r="J122" s="58" t="s">
        <v>551</v>
      </c>
      <c r="K122" t="s">
        <v>539</v>
      </c>
      <c r="L122" s="60">
        <f>C126*BG30</f>
        <v>3.355265388560158</v>
      </c>
      <c r="M122" t="s">
        <v>21</v>
      </c>
      <c r="N122" t="str">
        <f>BD30</f>
        <v>Floor, ældet træ</v>
      </c>
      <c r="O122" s="61">
        <f>L122/$B$91/$BJ$4</f>
        <v>5.5908071548099953E-4</v>
      </c>
      <c r="Q122" s="61">
        <f t="shared" si="6"/>
        <v>5.4973521679547641E-5</v>
      </c>
    </row>
    <row r="123" spans="1:17" x14ac:dyDescent="0.25">
      <c r="A123" s="59" t="s">
        <v>548</v>
      </c>
      <c r="B123" s="59"/>
      <c r="C123" s="71"/>
      <c r="D123" s="59"/>
      <c r="E123" s="73"/>
      <c r="F123" s="59"/>
      <c r="G123" s="72"/>
      <c r="L123" s="68"/>
      <c r="O123" s="61"/>
      <c r="Q123" s="61"/>
    </row>
    <row r="124" spans="1:17" x14ac:dyDescent="0.25">
      <c r="A124" s="58" t="s">
        <v>549</v>
      </c>
      <c r="B124" t="s">
        <v>539</v>
      </c>
      <c r="C124" s="60">
        <f>AV23</f>
        <v>1.7636410256410258</v>
      </c>
      <c r="D124" t="s">
        <v>21</v>
      </c>
      <c r="E124" s="61">
        <f>C124/$B$91/$BJ$4</f>
        <v>2.9387174255391985E-4</v>
      </c>
      <c r="G124" s="62">
        <f>E124/($E$91*$G$91)</f>
        <v>2.8895943220641088E-5</v>
      </c>
      <c r="J124" s="59" t="s">
        <v>70</v>
      </c>
      <c r="K124" s="59"/>
      <c r="L124" s="74"/>
      <c r="M124" s="59"/>
      <c r="N124" s="59"/>
      <c r="O124" s="70"/>
      <c r="P124" s="59"/>
      <c r="Q124" s="70"/>
    </row>
    <row r="125" spans="1:17" x14ac:dyDescent="0.25">
      <c r="A125" s="58" t="s">
        <v>550</v>
      </c>
      <c r="B125" t="s">
        <v>539</v>
      </c>
      <c r="C125" s="60">
        <f>AZ35</f>
        <v>1.1184217961867193</v>
      </c>
      <c r="D125" t="s">
        <v>21</v>
      </c>
      <c r="E125" s="61">
        <f>C125/$B$91/$BJ$4</f>
        <v>1.8636023849366655E-4</v>
      </c>
      <c r="G125" s="62">
        <f t="shared" ref="G125:G127" si="7">E125/($E$91*$G$91)</f>
        <v>1.8324507226515885E-5</v>
      </c>
      <c r="J125" s="58" t="s">
        <v>541</v>
      </c>
      <c r="K125" t="s">
        <v>541</v>
      </c>
      <c r="L125" s="60">
        <f>C131*BG52</f>
        <v>12456.776773558169</v>
      </c>
      <c r="M125" t="s">
        <v>119</v>
      </c>
      <c r="N125" t="str">
        <f>BD52</f>
        <v>Roof, tegl (ikke glasseret)</v>
      </c>
      <c r="O125" s="61">
        <f>L125/$B$91/$BJ$4</f>
        <v>2.075646145575567</v>
      </c>
      <c r="Q125" s="61">
        <f t="shared" si="6"/>
        <v>0.2040949995649525</v>
      </c>
    </row>
    <row r="126" spans="1:17" x14ac:dyDescent="0.25">
      <c r="A126" s="58" t="s">
        <v>551</v>
      </c>
      <c r="B126" t="s">
        <v>539</v>
      </c>
      <c r="C126" s="60">
        <f>AZ24</f>
        <v>3.355265388560158</v>
      </c>
      <c r="D126" t="s">
        <v>21</v>
      </c>
      <c r="E126" s="61">
        <f>C126/$B$91/$BJ$4</f>
        <v>5.5908071548099953E-4</v>
      </c>
      <c r="G126" s="62">
        <f t="shared" si="7"/>
        <v>5.4973521679547641E-5</v>
      </c>
      <c r="L126" s="68"/>
      <c r="O126" s="61"/>
      <c r="Q126" s="61"/>
    </row>
    <row r="127" spans="1:17" x14ac:dyDescent="0.25">
      <c r="A127" s="58" t="s">
        <v>155</v>
      </c>
      <c r="B127" t="s">
        <v>552</v>
      </c>
      <c r="C127" s="60">
        <f>AV31</f>
        <v>126.41558441558443</v>
      </c>
      <c r="D127" t="s">
        <v>119</v>
      </c>
      <c r="E127" s="61">
        <f>C127/$B$91/$BJ$4</f>
        <v>2.1064359208063418E-2</v>
      </c>
      <c r="G127" s="62">
        <f t="shared" si="7"/>
        <v>2.0712250942048591E-3</v>
      </c>
      <c r="J127" s="59" t="s">
        <v>553</v>
      </c>
      <c r="K127" s="59"/>
      <c r="L127" s="71"/>
      <c r="M127" s="59"/>
      <c r="N127" s="59"/>
      <c r="O127" s="70"/>
      <c r="P127" s="59"/>
      <c r="Q127" s="70"/>
    </row>
    <row r="128" spans="1:17" x14ac:dyDescent="0.25">
      <c r="C128" s="68"/>
      <c r="E128" s="69"/>
      <c r="G128" s="62"/>
      <c r="J128" s="58" t="s">
        <v>554</v>
      </c>
      <c r="K128" t="s">
        <v>555</v>
      </c>
      <c r="L128" s="60">
        <f>C134*BG14</f>
        <v>0.59315284369368781</v>
      </c>
      <c r="M128" t="s">
        <v>21</v>
      </c>
      <c r="N128" t="str">
        <f>BD14</f>
        <v>Stairs, wood</v>
      </c>
      <c r="O128" s="61">
        <f>L128/$B$91/$BJ$4</f>
        <v>9.8835793249774621E-5</v>
      </c>
      <c r="Q128" s="61">
        <f t="shared" ref="Q128" si="8">O128/($E$91*$G$91)</f>
        <v>9.7183670845402779E-6</v>
      </c>
    </row>
    <row r="129" spans="1:17" x14ac:dyDescent="0.25">
      <c r="A129" s="59" t="s">
        <v>70</v>
      </c>
      <c r="B129" s="59"/>
      <c r="C129" s="71"/>
      <c r="D129" s="59"/>
      <c r="E129" s="73"/>
      <c r="F129" s="59"/>
      <c r="G129" s="72"/>
      <c r="L129" s="68"/>
      <c r="O129" s="61"/>
      <c r="Q129" s="61"/>
    </row>
    <row r="130" spans="1:17" x14ac:dyDescent="0.25">
      <c r="A130" s="58" t="s">
        <v>257</v>
      </c>
      <c r="B130" t="s">
        <v>539</v>
      </c>
      <c r="C130" s="60">
        <f>V62</f>
        <v>7.2315654093712967</v>
      </c>
      <c r="D130" t="s">
        <v>21</v>
      </c>
      <c r="E130" s="61">
        <f>C130/$B$91/$BJ$4</f>
        <v>1.2049803204550486E-3</v>
      </c>
      <c r="G130" s="62">
        <f>E130/($E$91*$G$91)</f>
        <v>1.1848380732104706E-4</v>
      </c>
      <c r="J130" s="59" t="s">
        <v>72</v>
      </c>
      <c r="K130" s="59"/>
      <c r="L130" s="71"/>
      <c r="M130" s="59"/>
      <c r="N130" s="59"/>
      <c r="O130" s="70"/>
      <c r="P130" s="59"/>
      <c r="Q130" s="70"/>
    </row>
    <row r="131" spans="1:17" x14ac:dyDescent="0.25">
      <c r="A131" s="58" t="s">
        <v>541</v>
      </c>
      <c r="B131" t="s">
        <v>541</v>
      </c>
      <c r="C131" s="60">
        <f>V33</f>
        <v>6228.3883867790846</v>
      </c>
      <c r="D131" t="s">
        <v>119</v>
      </c>
      <c r="E131" s="61">
        <f>C131/$B$91/$BJ$4</f>
        <v>1.0378230727877835</v>
      </c>
      <c r="G131" s="62">
        <f t="shared" ref="G131:G134" si="9">E131/($E$91*$G$91)</f>
        <v>0.10204749978247625</v>
      </c>
      <c r="J131" s="58" t="s">
        <v>556</v>
      </c>
      <c r="K131" t="s">
        <v>541</v>
      </c>
      <c r="L131" s="60">
        <f>C137*BG42</f>
        <v>6295</v>
      </c>
      <c r="M131" t="s">
        <v>119</v>
      </c>
      <c r="N131" t="str">
        <f>BD42</f>
        <v>Exterior wall, plaster, tegl</v>
      </c>
      <c r="O131" s="61">
        <f>L131/$B$91/$BJ$4</f>
        <v>1.0489224238274562</v>
      </c>
      <c r="Q131" s="61">
        <f t="shared" ref="Q131:Q132" si="10">O131/($E$91*$G$91)</f>
        <v>0.10313888139896324</v>
      </c>
    </row>
    <row r="132" spans="1:17" x14ac:dyDescent="0.25">
      <c r="C132" s="68"/>
      <c r="E132" s="69"/>
      <c r="G132" s="62"/>
      <c r="J132" s="58" t="s">
        <v>537</v>
      </c>
      <c r="K132" t="s">
        <v>538</v>
      </c>
      <c r="L132" s="60">
        <f>C138*BG42</f>
        <v>1348.5231869956456</v>
      </c>
      <c r="M132" t="s">
        <v>119</v>
      </c>
      <c r="N132" t="str">
        <f>BD42</f>
        <v>Exterior wall, plaster, tegl</v>
      </c>
      <c r="O132" s="61">
        <f>L132/$B$91/$BJ$4</f>
        <v>0.22470154247672733</v>
      </c>
      <c r="Q132" s="61">
        <f t="shared" si="10"/>
        <v>2.2094546949530711E-2</v>
      </c>
    </row>
    <row r="133" spans="1:17" x14ac:dyDescent="0.25">
      <c r="A133" s="59" t="s">
        <v>553</v>
      </c>
      <c r="B133" s="59"/>
      <c r="C133" s="71"/>
      <c r="D133" s="59"/>
      <c r="E133" s="73"/>
      <c r="F133" s="59"/>
      <c r="G133" s="72"/>
      <c r="L133" s="68"/>
      <c r="O133" s="61"/>
      <c r="Q133" s="61"/>
    </row>
    <row r="134" spans="1:17" x14ac:dyDescent="0.25">
      <c r="A134" s="58" t="s">
        <v>554</v>
      </c>
      <c r="B134" t="s">
        <v>555</v>
      </c>
      <c r="C134" s="60">
        <f>Z69</f>
        <v>0.59315284369368781</v>
      </c>
      <c r="D134" t="s">
        <v>21</v>
      </c>
      <c r="E134" s="61">
        <f>C134/$B$91/$BJ$4</f>
        <v>9.8835793249774621E-5</v>
      </c>
      <c r="G134" s="62">
        <f t="shared" si="9"/>
        <v>9.7183670845402779E-6</v>
      </c>
      <c r="J134" s="59" t="s">
        <v>557</v>
      </c>
      <c r="K134" s="59"/>
      <c r="L134" s="71"/>
      <c r="M134" s="59"/>
      <c r="N134" s="59"/>
      <c r="O134" s="70"/>
      <c r="P134" s="59"/>
      <c r="Q134" s="70"/>
    </row>
    <row r="135" spans="1:17" x14ac:dyDescent="0.25">
      <c r="C135" s="68"/>
      <c r="E135" s="69"/>
      <c r="G135" s="62"/>
      <c r="J135" s="75" t="s">
        <v>557</v>
      </c>
      <c r="K135" t="s">
        <v>552</v>
      </c>
      <c r="L135" s="60">
        <f>('[1]Typehus O2010'!M75/'[1]Typehus O2010'!L52)*'house 1860'!B91*(BG62+1)</f>
        <v>119.72732196258092</v>
      </c>
      <c r="M135" t="s">
        <v>119</v>
      </c>
      <c r="N135" t="str">
        <f>BD62</f>
        <v>Rør, jen, stål, rustfrit stål</v>
      </c>
      <c r="O135" s="61">
        <f>L135/$B$91/BJ7</f>
        <v>3.8365208270104666E-2</v>
      </c>
      <c r="Q135" s="61">
        <f t="shared" ref="Q135:Q136" si="11">O135/($E$91*$G$91)</f>
        <v>3.7723901937172732E-3</v>
      </c>
    </row>
    <row r="136" spans="1:17" x14ac:dyDescent="0.25">
      <c r="A136" s="59" t="s">
        <v>72</v>
      </c>
      <c r="B136" s="59"/>
      <c r="C136" s="71"/>
      <c r="D136" s="59"/>
      <c r="E136" s="73"/>
      <c r="F136" s="59"/>
      <c r="G136" s="72"/>
      <c r="J136" s="75"/>
      <c r="K136" t="s">
        <v>558</v>
      </c>
      <c r="L136" s="68">
        <f>('[1]Typehus O2010'!M108/'[1]Typehus O2010'!L52)*B91*(BG64)</f>
        <v>0</v>
      </c>
      <c r="M136" t="s">
        <v>119</v>
      </c>
      <c r="N136" t="str">
        <f>BD64</f>
        <v>Rør, plast/skumplast</v>
      </c>
      <c r="O136" s="61">
        <f>L136/$B$91/BJ11</f>
        <v>0</v>
      </c>
      <c r="Q136" s="61">
        <f t="shared" si="11"/>
        <v>0</v>
      </c>
    </row>
    <row r="137" spans="1:17" x14ac:dyDescent="0.25">
      <c r="A137" s="58" t="s">
        <v>556</v>
      </c>
      <c r="B137" s="17" t="s">
        <v>541</v>
      </c>
      <c r="C137" s="60">
        <f>AD83</f>
        <v>6295</v>
      </c>
      <c r="D137" t="s">
        <v>119</v>
      </c>
      <c r="E137" s="61">
        <f>C137/$B$91/$BJ$4</f>
        <v>1.0489224238274562</v>
      </c>
      <c r="G137" s="62">
        <f t="shared" ref="G137:G142" si="12">E137/($E$91*$G$91)</f>
        <v>0.10313888139896324</v>
      </c>
      <c r="L137" s="68"/>
      <c r="Q137" s="61"/>
    </row>
    <row r="138" spans="1:17" x14ac:dyDescent="0.25">
      <c r="A138" s="58" t="s">
        <v>537</v>
      </c>
      <c r="B138" s="17" t="s">
        <v>538</v>
      </c>
      <c r="C138" s="60">
        <f>AD84</f>
        <v>1348.5231869956456</v>
      </c>
      <c r="D138" t="s">
        <v>119</v>
      </c>
      <c r="E138" s="61">
        <f>C138/$B$91/$BJ$4</f>
        <v>0.22470154247672733</v>
      </c>
      <c r="G138" s="62">
        <f t="shared" si="12"/>
        <v>2.2094546949530711E-2</v>
      </c>
      <c r="J138" s="59" t="s">
        <v>559</v>
      </c>
      <c r="K138" s="59"/>
      <c r="L138" s="71"/>
      <c r="M138" s="59"/>
      <c r="N138" s="73"/>
      <c r="O138" s="59"/>
      <c r="P138" s="59"/>
      <c r="Q138" s="70"/>
    </row>
    <row r="139" spans="1:17" x14ac:dyDescent="0.25">
      <c r="C139" s="68"/>
      <c r="E139" s="61"/>
      <c r="G139" s="62"/>
      <c r="J139" s="58" t="s">
        <v>560</v>
      </c>
      <c r="K139" t="s">
        <v>561</v>
      </c>
      <c r="L139" s="60">
        <f>'house 1860'!B91*(BG60)*('[1]Typehus AA1890'!C155/'[1]Typehus AA1890'!B107)</f>
        <v>200.20407838703275</v>
      </c>
      <c r="M139" t="s">
        <v>119</v>
      </c>
      <c r="N139" s="69" t="str">
        <f>BD60</f>
        <v>Tagrender og nedløbsrør, zink og bly</v>
      </c>
      <c r="O139" s="61">
        <f>L139/$B$91/$BJ$4</f>
        <v>3.3359578580122069E-2</v>
      </c>
      <c r="Q139" s="61">
        <f t="shared" ref="Q139:Q141" si="13">O139/($E$91*$G$91)</f>
        <v>3.2801945506511377E-3</v>
      </c>
    </row>
    <row r="140" spans="1:17" x14ac:dyDescent="0.25">
      <c r="A140" s="59" t="s">
        <v>562</v>
      </c>
      <c r="B140" s="59"/>
      <c r="C140" s="71"/>
      <c r="D140" s="59"/>
      <c r="E140" s="59"/>
      <c r="F140" s="59"/>
      <c r="G140" s="72"/>
      <c r="J140" s="58"/>
      <c r="L140" s="60"/>
      <c r="N140" s="69"/>
      <c r="O140" s="61"/>
      <c r="Q140" s="61"/>
    </row>
    <row r="141" spans="1:17" x14ac:dyDescent="0.25">
      <c r="A141" s="58" t="s">
        <v>563</v>
      </c>
      <c r="B141" t="s">
        <v>564</v>
      </c>
      <c r="C141" s="60">
        <f>'house 1860'!B91*('[1]Typehus AA1890'!C155/'[1]Typehus AA1890'!B107)</f>
        <v>66.734692795677589</v>
      </c>
      <c r="D141" t="s">
        <v>119</v>
      </c>
      <c r="E141" s="61">
        <f t="shared" ref="E141:E142" si="14">C141/$B$91/$BJ$4</f>
        <v>1.1119859526707358E-2</v>
      </c>
      <c r="G141" s="62">
        <f t="shared" si="12"/>
        <v>1.0933981835503793E-3</v>
      </c>
      <c r="J141" s="58" t="s">
        <v>565</v>
      </c>
      <c r="K141" t="s">
        <v>561</v>
      </c>
      <c r="L141" s="60">
        <f>'house 1860'!B91*(BG60)*('[1]Typehus AA1890'!C156/'[1]Typehus AA1890'!B107)</f>
        <v>227.52367491859349</v>
      </c>
      <c r="M141" t="s">
        <v>119</v>
      </c>
      <c r="N141" t="str">
        <f>BD60</f>
        <v>Tagrender og nedløbsrør, zink og bly</v>
      </c>
      <c r="O141" s="61">
        <f>L141/$B$91/$BJ$4</f>
        <v>3.7911784682087571E-2</v>
      </c>
      <c r="Q141" s="61">
        <f t="shared" si="13"/>
        <v>3.7278057701167718E-3</v>
      </c>
    </row>
    <row r="142" spans="1:17" x14ac:dyDescent="0.25">
      <c r="A142" s="58" t="s">
        <v>565</v>
      </c>
      <c r="B142" t="s">
        <v>564</v>
      </c>
      <c r="C142" s="60">
        <f>'house 1860'!B91*('[1]Typehus AA1890'!C156/'[1]Typehus AA1890'!B107)</f>
        <v>75.841224972864509</v>
      </c>
      <c r="D142" t="s">
        <v>52</v>
      </c>
      <c r="E142" s="61">
        <f t="shared" si="14"/>
        <v>1.263726156069586E-2</v>
      </c>
      <c r="G142" s="62">
        <f t="shared" si="12"/>
        <v>1.2426019233722576E-3</v>
      </c>
      <c r="J142" s="58"/>
      <c r="L142" s="68"/>
      <c r="O142" s="61"/>
      <c r="Q142" s="61"/>
    </row>
    <row r="143" spans="1:17" x14ac:dyDescent="0.25">
      <c r="C143" s="17"/>
      <c r="L143" s="68"/>
    </row>
    <row r="144" spans="1:17" x14ac:dyDescent="0.25">
      <c r="C144" s="68">
        <f>SUM(C96:C142)</f>
        <v>58407.606294254459</v>
      </c>
      <c r="L144" s="68">
        <f>SUM(L97:L141)</f>
        <v>40933.662165673755</v>
      </c>
    </row>
    <row r="145" spans="1:15" x14ac:dyDescent="0.25">
      <c r="O145" s="69"/>
    </row>
    <row r="147" spans="1:15" x14ac:dyDescent="0.25">
      <c r="L147" s="68"/>
    </row>
    <row r="148" spans="1:15" x14ac:dyDescent="0.25">
      <c r="A148" s="76">
        <v>1860</v>
      </c>
      <c r="L148" s="68"/>
      <c r="M148" s="68"/>
    </row>
    <row r="149" spans="1:15" x14ac:dyDescent="0.25">
      <c r="A149" t="s">
        <v>566</v>
      </c>
      <c r="B149" t="s">
        <v>567</v>
      </c>
      <c r="C149" t="s">
        <v>568</v>
      </c>
      <c r="D149" t="s">
        <v>569</v>
      </c>
      <c r="F149" t="s">
        <v>570</v>
      </c>
      <c r="G149">
        <v>520</v>
      </c>
      <c r="H149" t="s">
        <v>35</v>
      </c>
    </row>
    <row r="150" spans="1:15" x14ac:dyDescent="0.25">
      <c r="A150" t="s">
        <v>571</v>
      </c>
      <c r="B150" s="68">
        <f>C96</f>
        <v>16316.104493376457</v>
      </c>
      <c r="C150" s="61">
        <f>E96</f>
        <v>2.7187176922342307</v>
      </c>
      <c r="D150" s="61">
        <f>G96</f>
        <v>0.26732720670936388</v>
      </c>
      <c r="E150" s="68"/>
      <c r="F150" t="s">
        <v>572</v>
      </c>
      <c r="G150" s="68">
        <f>C102+C110+C112+C114+C120+C125+C124+C126+C130+C134+L106+L108+L110+L98+L116+L120+L121+L122+L128</f>
        <v>41.198855575893262</v>
      </c>
      <c r="H150" t="s">
        <v>21</v>
      </c>
      <c r="J150" t="s">
        <v>573</v>
      </c>
      <c r="K150">
        <f>0.92*10^3</f>
        <v>920</v>
      </c>
      <c r="L150" t="s">
        <v>35</v>
      </c>
    </row>
    <row r="151" spans="1:15" x14ac:dyDescent="0.25">
      <c r="A151" t="s">
        <v>574</v>
      </c>
      <c r="B151" s="68">
        <f>C97+C101+C106+C119+C138+L97+L102+L115+L132+C103+C121+L99+L117</f>
        <v>23498.916806755708</v>
      </c>
      <c r="C151" s="61">
        <f>E138+E121+E119+E106+E103+E101+E97</f>
        <v>1.8700674787371625</v>
      </c>
      <c r="D151" s="61">
        <f>G97+G101+G106+G121+G138</f>
        <v>0.13291160916706518</v>
      </c>
      <c r="E151" s="68"/>
      <c r="F151" t="s">
        <v>575</v>
      </c>
      <c r="G151">
        <f>G149*G150</f>
        <v>21423.404899464495</v>
      </c>
      <c r="H151" t="s">
        <v>119</v>
      </c>
    </row>
    <row r="152" spans="1:15" x14ac:dyDescent="0.25">
      <c r="A152" t="s">
        <v>576</v>
      </c>
      <c r="B152" s="68">
        <f>C100+C118+C131+C137+L131+L125+L114</f>
        <v>58465.165160337259</v>
      </c>
      <c r="C152" s="61">
        <f>E137+E131+E118+E100</f>
        <v>5.0835476876457086</v>
      </c>
      <c r="D152" s="61">
        <f>G137+G131+G118+G100</f>
        <v>0.4998571964253401</v>
      </c>
    </row>
    <row r="153" spans="1:15" x14ac:dyDescent="0.25">
      <c r="A153" t="s">
        <v>577</v>
      </c>
      <c r="B153" s="68">
        <f>G151</f>
        <v>21423.404899464495</v>
      </c>
      <c r="C153" s="61">
        <f>E134+E130+E126+E125+E124+E120+E113+E111+E109+E102</f>
        <v>7.0946368962088967E-3</v>
      </c>
      <c r="D153" s="61">
        <f>G134+G130+G126+G125+G124+G120+G113+G111+G109+G102</f>
        <v>6.976044145731461E-4</v>
      </c>
    </row>
    <row r="154" spans="1:15" x14ac:dyDescent="0.25">
      <c r="A154" t="s">
        <v>578</v>
      </c>
      <c r="B154" s="68">
        <f>C115+L111</f>
        <v>143.39686287738229</v>
      </c>
      <c r="C154" s="61">
        <f>E115</f>
        <v>7.9646378066506335E-3</v>
      </c>
      <c r="D154" s="61">
        <f>G115</f>
        <v>7.831502268093052E-4</v>
      </c>
    </row>
    <row r="155" spans="1:15" x14ac:dyDescent="0.25">
      <c r="A155" t="s">
        <v>579</v>
      </c>
      <c r="B155" s="68">
        <f>C127+L135</f>
        <v>246.14290637816535</v>
      </c>
      <c r="C155" s="61">
        <f>E127</f>
        <v>2.1064359208063418E-2</v>
      </c>
      <c r="D155" s="61">
        <f>G127</f>
        <v>2.0712250942048591E-3</v>
      </c>
    </row>
    <row r="156" spans="1:15" x14ac:dyDescent="0.25">
      <c r="A156" t="s">
        <v>580</v>
      </c>
      <c r="B156" s="68">
        <f>C141+C142+L139+L141</f>
        <v>570.30367107416828</v>
      </c>
    </row>
    <row r="157" spans="1:15" x14ac:dyDescent="0.25">
      <c r="B157" s="68">
        <f>SUM(B150:B156)</f>
        <v>120663.43480026365</v>
      </c>
      <c r="C157" s="68">
        <f>C144+L144</f>
        <v>99341.268459928222</v>
      </c>
    </row>
    <row r="158" spans="1:15" x14ac:dyDescent="0.25">
      <c r="B158" s="69"/>
    </row>
  </sheetData>
  <pageMargins left="0.7" right="0.7" top="0.75" bottom="0.75" header="0.3" footer="0.3"/>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E6AE2F-A033-4679-BCE9-B39B5CBB05E9}">
  <sheetPr>
    <tabColor theme="9" tint="0.59999389629810485"/>
  </sheetPr>
  <dimension ref="A1:DA233"/>
  <sheetViews>
    <sheetView zoomScale="50" zoomScaleNormal="43" workbookViewId="0">
      <selection activeCell="H109" sqref="H109"/>
    </sheetView>
  </sheetViews>
  <sheetFormatPr defaultColWidth="11.42578125" defaultRowHeight="15" x14ac:dyDescent="0.25"/>
  <cols>
    <col min="1" max="1" width="20.7109375" customWidth="1"/>
    <col min="2" max="2" width="15.140625" customWidth="1"/>
    <col min="3" max="4" width="15.28515625" customWidth="1"/>
    <col min="5" max="5" width="28.140625" customWidth="1"/>
    <col min="6" max="6" width="15.140625" bestFit="1" customWidth="1"/>
    <col min="7" max="7" width="20.7109375" customWidth="1"/>
    <col min="8" max="8" width="55.7109375" bestFit="1" customWidth="1"/>
    <col min="9" max="10" width="20.7109375" customWidth="1"/>
    <col min="12" max="12" width="26.7109375" bestFit="1" customWidth="1"/>
    <col min="15" max="15" width="27" customWidth="1"/>
    <col min="17" max="17" width="36.140625" customWidth="1"/>
    <col min="18" max="18" width="18.28515625" customWidth="1"/>
    <col min="19" max="19" width="40.7109375" customWidth="1"/>
    <col min="22" max="22" width="14.7109375" customWidth="1"/>
    <col min="25" max="25" width="27" customWidth="1"/>
    <col min="26" max="26" width="38.42578125" bestFit="1" customWidth="1"/>
    <col min="30" max="30" width="23.140625" bestFit="1" customWidth="1"/>
    <col min="32" max="32" width="13.7109375" customWidth="1"/>
    <col min="34" max="34" width="39.28515625" bestFit="1" customWidth="1"/>
    <col min="38" max="38" width="40" bestFit="1" customWidth="1"/>
    <col min="42" max="42" width="28.42578125" bestFit="1" customWidth="1"/>
    <col min="46" max="46" width="21" customWidth="1"/>
    <col min="51" max="51" width="18.7109375" customWidth="1"/>
    <col min="55" max="55" width="17.42578125" customWidth="1"/>
    <col min="60" max="60" width="21" bestFit="1" customWidth="1"/>
    <col min="64" max="64" width="24.42578125" bestFit="1" customWidth="1"/>
    <col min="76" max="76" width="13.7109375" bestFit="1" customWidth="1"/>
    <col min="81" max="81" width="41" bestFit="1" customWidth="1"/>
    <col min="86" max="86" width="14.7109375" bestFit="1" customWidth="1"/>
    <col min="88" max="88" width="17.140625" bestFit="1" customWidth="1"/>
    <col min="97" max="97" width="19.140625" customWidth="1"/>
    <col min="99" max="99" width="14.140625" customWidth="1"/>
  </cols>
  <sheetData>
    <row r="1" spans="1:105" ht="18.75" x14ac:dyDescent="0.3">
      <c r="A1" s="1" t="s">
        <v>1</v>
      </c>
      <c r="B1" s="2"/>
      <c r="E1" s="3" t="s">
        <v>2</v>
      </c>
      <c r="F1" s="4"/>
      <c r="G1" s="2"/>
      <c r="AX1" s="43" t="s">
        <v>582</v>
      </c>
    </row>
    <row r="2" spans="1:105" x14ac:dyDescent="0.25">
      <c r="A2" s="5" t="s">
        <v>4</v>
      </c>
      <c r="B2" s="5" t="s">
        <v>5</v>
      </c>
      <c r="E2" s="6" t="s">
        <v>6</v>
      </c>
      <c r="F2" s="4"/>
      <c r="G2" s="2"/>
      <c r="AX2" s="43" t="s">
        <v>583</v>
      </c>
      <c r="AY2">
        <v>1924</v>
      </c>
    </row>
    <row r="3" spans="1:105" x14ac:dyDescent="0.25">
      <c r="A3" s="5" t="s">
        <v>10</v>
      </c>
      <c r="B3" s="5" t="s">
        <v>584</v>
      </c>
      <c r="E3" s="5" t="s">
        <v>12</v>
      </c>
      <c r="F3" s="5">
        <v>22.8</v>
      </c>
      <c r="G3" s="5" t="s">
        <v>8</v>
      </c>
      <c r="AX3" s="43"/>
      <c r="CJ3" t="s">
        <v>9</v>
      </c>
      <c r="CK3">
        <f>B4</f>
        <v>1882</v>
      </c>
    </row>
    <row r="4" spans="1:105" x14ac:dyDescent="0.25">
      <c r="A4" s="5" t="s">
        <v>9</v>
      </c>
      <c r="B4" s="5">
        <v>1882</v>
      </c>
      <c r="E4" s="5" t="s">
        <v>14</v>
      </c>
      <c r="F4" s="8">
        <v>10.8</v>
      </c>
      <c r="G4" s="5" t="s">
        <v>8</v>
      </c>
      <c r="AX4" s="43"/>
      <c r="CJ4" t="s">
        <v>585</v>
      </c>
      <c r="CK4">
        <v>2007</v>
      </c>
    </row>
    <row r="5" spans="1:105" x14ac:dyDescent="0.25">
      <c r="A5" s="5" t="s">
        <v>17</v>
      </c>
      <c r="B5" s="5">
        <v>1924</v>
      </c>
      <c r="D5" s="67"/>
      <c r="E5" s="9" t="s">
        <v>13</v>
      </c>
      <c r="F5" s="9">
        <v>5.4</v>
      </c>
      <c r="G5" s="9" t="s">
        <v>8</v>
      </c>
      <c r="AX5" s="43"/>
      <c r="CJ5" t="s">
        <v>15</v>
      </c>
      <c r="CK5">
        <f>CK4-CK3</f>
        <v>125</v>
      </c>
      <c r="CL5" t="s">
        <v>16</v>
      </c>
    </row>
    <row r="6" spans="1:105" x14ac:dyDescent="0.25">
      <c r="E6" s="5" t="s">
        <v>20</v>
      </c>
      <c r="F6" s="5">
        <f>(F5*F4*F3)*10^-6</f>
        <v>1.329696E-3</v>
      </c>
      <c r="G6" s="5" t="s">
        <v>21</v>
      </c>
      <c r="AX6" s="43"/>
      <c r="CJ6" t="s">
        <v>18</v>
      </c>
      <c r="CK6" s="77">
        <f>B5</f>
        <v>1924</v>
      </c>
      <c r="CO6" s="21" t="s">
        <v>586</v>
      </c>
      <c r="CP6" s="4"/>
      <c r="CQ6" s="4"/>
      <c r="CR6" s="4"/>
      <c r="CS6" s="4"/>
      <c r="CT6" s="4"/>
      <c r="CU6" s="4"/>
      <c r="CV6" s="4"/>
      <c r="CW6" s="2"/>
      <c r="CY6" s="21" t="s">
        <v>479</v>
      </c>
      <c r="CZ6" s="4"/>
      <c r="DA6" s="2"/>
    </row>
    <row r="7" spans="1:105" ht="18.75" x14ac:dyDescent="0.3">
      <c r="A7" s="1" t="s">
        <v>25</v>
      </c>
      <c r="B7" s="4"/>
      <c r="C7" s="2"/>
      <c r="E7" s="7" t="s">
        <v>26</v>
      </c>
      <c r="F7" s="7">
        <v>1</v>
      </c>
      <c r="G7" s="7" t="s">
        <v>8</v>
      </c>
      <c r="AX7" s="43"/>
      <c r="CE7">
        <v>1884</v>
      </c>
      <c r="CG7">
        <v>1924</v>
      </c>
      <c r="CK7">
        <f>CK4-CK6</f>
        <v>83</v>
      </c>
      <c r="CL7" t="s">
        <v>30</v>
      </c>
      <c r="CO7" s="11" t="s">
        <v>85</v>
      </c>
      <c r="CP7" s="4"/>
      <c r="CQ7" s="2"/>
      <c r="CR7" s="11" t="s">
        <v>587</v>
      </c>
      <c r="CS7" s="4"/>
      <c r="CT7" s="2"/>
      <c r="CU7" s="11" t="s">
        <v>588</v>
      </c>
      <c r="CV7" s="4"/>
      <c r="CW7" s="2"/>
      <c r="CY7" s="5" t="s">
        <v>484</v>
      </c>
      <c r="CZ7" s="5">
        <v>3</v>
      </c>
      <c r="DA7" s="5"/>
    </row>
    <row r="8" spans="1:105" x14ac:dyDescent="0.25">
      <c r="A8" s="5" t="s">
        <v>31</v>
      </c>
      <c r="B8" s="5">
        <f>22.7</f>
        <v>22.7</v>
      </c>
      <c r="C8" s="5"/>
      <c r="E8" s="5" t="s">
        <v>32</v>
      </c>
      <c r="F8" s="5">
        <f>((F3*10^-2)*(F5*10^-2))</f>
        <v>1.2312000000000002E-2</v>
      </c>
      <c r="G8" s="5" t="s">
        <v>33</v>
      </c>
      <c r="AX8" s="43"/>
      <c r="CC8" s="11" t="s">
        <v>28</v>
      </c>
      <c r="CD8" s="2" t="s">
        <v>29</v>
      </c>
      <c r="CJ8" t="s">
        <v>24</v>
      </c>
      <c r="CK8">
        <v>1890</v>
      </c>
      <c r="CO8" s="9" t="s">
        <v>13</v>
      </c>
      <c r="CP8" s="5">
        <v>5.9</v>
      </c>
      <c r="CQ8" s="5" t="s">
        <v>8</v>
      </c>
      <c r="CR8" s="9" t="s">
        <v>13</v>
      </c>
      <c r="CS8" s="5">
        <v>4.7</v>
      </c>
      <c r="CT8" s="5" t="s">
        <v>8</v>
      </c>
      <c r="CU8" s="9" t="s">
        <v>13</v>
      </c>
      <c r="CV8" s="5">
        <v>4.2</v>
      </c>
      <c r="CW8" s="5" t="s">
        <v>8</v>
      </c>
      <c r="CY8" s="5" t="s">
        <v>420</v>
      </c>
      <c r="CZ8" s="5">
        <f>10*10^-2</f>
        <v>0.1</v>
      </c>
      <c r="DA8" s="5" t="s">
        <v>23</v>
      </c>
    </row>
    <row r="9" spans="1:105" x14ac:dyDescent="0.25">
      <c r="A9" s="5" t="s">
        <v>38</v>
      </c>
      <c r="B9" s="5">
        <v>15.8</v>
      </c>
      <c r="C9" s="5"/>
      <c r="E9" s="5" t="s">
        <v>39</v>
      </c>
      <c r="F9" s="5">
        <f>((F3+F7)*10^-2)*((F5+F7)*10^-2)</f>
        <v>1.5232000000000001E-2</v>
      </c>
      <c r="G9" s="5" t="s">
        <v>33</v>
      </c>
      <c r="AX9" s="43"/>
      <c r="CC9" s="78" t="s">
        <v>36</v>
      </c>
      <c r="CD9" s="13">
        <v>120</v>
      </c>
      <c r="CJ9" t="s">
        <v>15</v>
      </c>
      <c r="CK9">
        <f>CK12-CK8</f>
        <v>70</v>
      </c>
      <c r="CL9" t="s">
        <v>30</v>
      </c>
      <c r="CO9" s="7"/>
      <c r="CP9" s="5">
        <f>CP8*$C$10*10^-2</f>
        <v>2.95</v>
      </c>
      <c r="CQ9" s="5" t="s">
        <v>23</v>
      </c>
      <c r="CR9" s="7"/>
      <c r="CS9" s="5">
        <f>CS8*$C$10*10^-2</f>
        <v>2.35</v>
      </c>
      <c r="CT9" s="5"/>
      <c r="CU9" s="7"/>
      <c r="CV9" s="5">
        <f>CV8*$C$10*10^-2</f>
        <v>2.1</v>
      </c>
      <c r="CW9" s="5" t="s">
        <v>23</v>
      </c>
      <c r="CY9" s="43" t="s">
        <v>492</v>
      </c>
      <c r="CZ9" s="5">
        <f>1848.9*10^-6</f>
        <v>1.8489000000000001E-3</v>
      </c>
      <c r="DA9" s="5" t="s">
        <v>119</v>
      </c>
    </row>
    <row r="10" spans="1:105" x14ac:dyDescent="0.25">
      <c r="A10" s="5" t="s">
        <v>43</v>
      </c>
      <c r="B10" s="5">
        <v>1</v>
      </c>
      <c r="C10" s="5">
        <v>50</v>
      </c>
      <c r="E10" s="5" t="s">
        <v>44</v>
      </c>
      <c r="F10" s="5">
        <f>F8/F9</f>
        <v>0.80829831932773122</v>
      </c>
      <c r="G10" s="5" t="s">
        <v>45</v>
      </c>
      <c r="AX10" s="43"/>
      <c r="CC10" s="78" t="s">
        <v>41</v>
      </c>
      <c r="CD10" s="13">
        <v>120</v>
      </c>
      <c r="CJ10" t="s">
        <v>37</v>
      </c>
      <c r="CK10">
        <v>1920</v>
      </c>
      <c r="CO10" s="40" t="s">
        <v>589</v>
      </c>
      <c r="CQ10" s="44"/>
      <c r="CR10" s="48" t="s">
        <v>589</v>
      </c>
      <c r="CU10" s="28" t="s">
        <v>589</v>
      </c>
      <c r="CV10" s="19"/>
      <c r="CW10" s="26"/>
      <c r="CY10" s="35"/>
      <c r="CZ10" s="5">
        <f>CZ9/CZ8</f>
        <v>1.8488999999999998E-2</v>
      </c>
      <c r="DA10" s="5" t="s">
        <v>494</v>
      </c>
    </row>
    <row r="11" spans="1:105" x14ac:dyDescent="0.25">
      <c r="A11" s="5" t="s">
        <v>54</v>
      </c>
      <c r="B11" s="5">
        <f>B8*$C$10*10^-2</f>
        <v>11.35</v>
      </c>
      <c r="C11" s="5" t="s">
        <v>23</v>
      </c>
      <c r="E11" s="5" t="s">
        <v>49</v>
      </c>
      <c r="F11" s="5">
        <f>2.5</f>
        <v>2.5</v>
      </c>
      <c r="G11" s="5" t="s">
        <v>50</v>
      </c>
      <c r="AX11" s="43"/>
      <c r="CC11" s="78" t="s">
        <v>46</v>
      </c>
      <c r="CD11" s="5">
        <v>120</v>
      </c>
      <c r="CJ11" t="s">
        <v>42</v>
      </c>
      <c r="CK11">
        <f>CK4-CK10</f>
        <v>87</v>
      </c>
      <c r="CL11" t="s">
        <v>30</v>
      </c>
      <c r="CO11" s="5" t="s">
        <v>590</v>
      </c>
      <c r="CP11" s="5">
        <f>0.8*$C$10*10^-2</f>
        <v>0.4</v>
      </c>
      <c r="CQ11" s="5" t="s">
        <v>23</v>
      </c>
      <c r="CR11" s="9" t="s">
        <v>591</v>
      </c>
      <c r="CS11" s="5">
        <f>2.5*$C$10*10^-2</f>
        <v>1.25</v>
      </c>
      <c r="CT11" s="11" t="s">
        <v>23</v>
      </c>
      <c r="CU11" s="9" t="s">
        <v>591</v>
      </c>
      <c r="CV11" s="5">
        <f>5.5*$C$10*10^-2</f>
        <v>2.75</v>
      </c>
      <c r="CW11" s="5" t="s">
        <v>23</v>
      </c>
      <c r="CY11" s="9" t="s">
        <v>497</v>
      </c>
      <c r="CZ11" s="5">
        <f>2206.9*10^-6</f>
        <v>2.2068999999999999E-3</v>
      </c>
      <c r="DA11" s="5" t="s">
        <v>119</v>
      </c>
    </row>
    <row r="12" spans="1:105" x14ac:dyDescent="0.25">
      <c r="A12" s="5" t="s">
        <v>7</v>
      </c>
      <c r="B12" s="5">
        <f>B9*$C$10*10^-2</f>
        <v>7.9</v>
      </c>
      <c r="C12" s="5" t="s">
        <v>23</v>
      </c>
      <c r="E12" s="5" t="s">
        <v>55</v>
      </c>
      <c r="F12" s="5">
        <v>1700</v>
      </c>
      <c r="G12" s="5" t="s">
        <v>35</v>
      </c>
      <c r="AX12" s="43"/>
      <c r="CC12" s="78" t="s">
        <v>53</v>
      </c>
      <c r="CD12" s="5">
        <v>80</v>
      </c>
      <c r="CJ12" t="s">
        <v>47</v>
      </c>
      <c r="CK12">
        <v>1960</v>
      </c>
      <c r="CO12" s="5"/>
      <c r="CP12" s="5">
        <f>CP9</f>
        <v>2.95</v>
      </c>
      <c r="CQ12" s="5" t="s">
        <v>23</v>
      </c>
      <c r="CR12" s="36"/>
      <c r="CS12" s="5">
        <f>CS9</f>
        <v>2.35</v>
      </c>
      <c r="CT12" s="11" t="s">
        <v>23</v>
      </c>
      <c r="CU12" s="36"/>
      <c r="CV12" s="5">
        <f>CV9</f>
        <v>2.1</v>
      </c>
      <c r="CW12" s="5" t="s">
        <v>23</v>
      </c>
      <c r="CY12" s="7"/>
      <c r="CZ12" s="5">
        <f>CZ11/CZ8</f>
        <v>2.2068999999999998E-2</v>
      </c>
      <c r="DA12" s="5" t="s">
        <v>494</v>
      </c>
    </row>
    <row r="13" spans="1:105" x14ac:dyDescent="0.25">
      <c r="A13" s="5" t="s">
        <v>59</v>
      </c>
      <c r="B13" s="5"/>
      <c r="C13" s="5" t="s">
        <v>23</v>
      </c>
      <c r="AX13" s="43"/>
      <c r="CC13" s="78" t="s">
        <v>56</v>
      </c>
      <c r="CD13" s="5">
        <v>120</v>
      </c>
      <c r="CJ13" t="s">
        <v>15</v>
      </c>
      <c r="CK13">
        <f>CK4-CK12</f>
        <v>47</v>
      </c>
      <c r="CL13" t="s">
        <v>30</v>
      </c>
      <c r="CO13" s="5"/>
      <c r="CP13" s="5">
        <f>4.3*$C$10*10^-2</f>
        <v>2.15</v>
      </c>
      <c r="CQ13" s="5" t="s">
        <v>23</v>
      </c>
      <c r="CR13" s="36"/>
      <c r="CS13" s="5">
        <f>1.7*$C$10*10^-2</f>
        <v>0.85</v>
      </c>
      <c r="CT13" s="11" t="s">
        <v>23</v>
      </c>
      <c r="CU13" s="36"/>
      <c r="CV13" s="5">
        <f>0.5*$C$10*10^-2</f>
        <v>0.25</v>
      </c>
      <c r="CW13" s="5" t="s">
        <v>23</v>
      </c>
      <c r="CY13" s="37" t="s">
        <v>502</v>
      </c>
      <c r="CZ13" s="5">
        <f>1295.5*10^-6</f>
        <v>1.2955E-3</v>
      </c>
      <c r="DA13" s="5" t="s">
        <v>119</v>
      </c>
    </row>
    <row r="14" spans="1:105" x14ac:dyDescent="0.25">
      <c r="A14" s="5" t="s">
        <v>61</v>
      </c>
      <c r="B14" s="5">
        <f>B11*B12</f>
        <v>89.665000000000006</v>
      </c>
      <c r="C14" s="5" t="s">
        <v>33</v>
      </c>
      <c r="E14" s="9" t="s">
        <v>22</v>
      </c>
      <c r="F14" s="9">
        <v>0.04</v>
      </c>
      <c r="G14" s="9" t="s">
        <v>23</v>
      </c>
      <c r="AX14" s="43"/>
      <c r="CC14" s="78" t="s">
        <v>58</v>
      </c>
      <c r="CD14" s="5">
        <v>100</v>
      </c>
      <c r="CE14">
        <f t="shared" ref="CE14:CE58" si="0">$CK$5/CD14</f>
        <v>1.25</v>
      </c>
      <c r="CF14">
        <v>1</v>
      </c>
      <c r="CG14">
        <f>$CK$7/CD14</f>
        <v>0.83</v>
      </c>
      <c r="CH14">
        <v>0</v>
      </c>
      <c r="CJ14" t="s">
        <v>57</v>
      </c>
      <c r="CK14">
        <v>1930</v>
      </c>
      <c r="CO14" s="5"/>
      <c r="CP14" s="5">
        <f>3.7*$C$10*10^-2</f>
        <v>1.85</v>
      </c>
      <c r="CQ14" s="5" t="s">
        <v>23</v>
      </c>
      <c r="CR14" s="36"/>
      <c r="CS14" s="5">
        <f>0.4*$C$10*10^-2</f>
        <v>0.2</v>
      </c>
      <c r="CT14" s="11" t="s">
        <v>23</v>
      </c>
      <c r="CU14" s="36"/>
      <c r="CV14" s="5">
        <f>4*$C$10*10^-2</f>
        <v>2</v>
      </c>
      <c r="CW14" s="5" t="s">
        <v>23</v>
      </c>
      <c r="CY14" s="35"/>
      <c r="CZ14" s="5">
        <f>CZ13/CZ8</f>
        <v>1.2955E-2</v>
      </c>
      <c r="DA14" s="5" t="s">
        <v>494</v>
      </c>
    </row>
    <row r="15" spans="1:105" x14ac:dyDescent="0.25">
      <c r="A15" s="19"/>
      <c r="B15" s="19"/>
      <c r="C15" s="19"/>
      <c r="E15" s="5" t="s">
        <v>27</v>
      </c>
      <c r="F15" s="5">
        <v>4.0000000000000001E-3</v>
      </c>
      <c r="G15" s="5" t="s">
        <v>23</v>
      </c>
      <c r="AX15" s="43"/>
      <c r="CC15" s="78" t="s">
        <v>60</v>
      </c>
      <c r="CD15" s="5">
        <v>100</v>
      </c>
      <c r="CE15">
        <f t="shared" si="0"/>
        <v>1.25</v>
      </c>
      <c r="CF15">
        <v>1</v>
      </c>
      <c r="CG15">
        <f t="shared" ref="CG15:CG66" si="1">$CK$7/CD15</f>
        <v>0.83</v>
      </c>
      <c r="CH15">
        <v>0</v>
      </c>
      <c r="CJ15" t="s">
        <v>15</v>
      </c>
      <c r="CK15">
        <f>CK4-CK14</f>
        <v>77</v>
      </c>
      <c r="CL15" t="s">
        <v>30</v>
      </c>
      <c r="CO15" s="5"/>
      <c r="CP15" s="5">
        <f>CP9-1</f>
        <v>1.9500000000000002</v>
      </c>
      <c r="CQ15" s="5" t="s">
        <v>23</v>
      </c>
      <c r="CR15" s="36"/>
      <c r="CS15" s="5">
        <f>CS9-1</f>
        <v>1.35</v>
      </c>
      <c r="CT15" s="11" t="s">
        <v>23</v>
      </c>
      <c r="CU15" s="36"/>
      <c r="CV15" s="5">
        <f>3*$C$10*10^-2</f>
        <v>1.5</v>
      </c>
      <c r="CW15" s="5" t="s">
        <v>23</v>
      </c>
      <c r="CY15" s="14" t="s">
        <v>505</v>
      </c>
      <c r="CZ15" s="14">
        <f>CZ10*CV38</f>
        <v>2.6420781</v>
      </c>
      <c r="DA15" s="14" t="s">
        <v>119</v>
      </c>
    </row>
    <row r="16" spans="1:105" x14ac:dyDescent="0.25">
      <c r="A16" s="25" t="s">
        <v>68</v>
      </c>
      <c r="B16" s="19"/>
      <c r="C16" s="26"/>
      <c r="E16" t="s">
        <v>34</v>
      </c>
      <c r="F16">
        <f>((2.4+2.8)/2)*10^3</f>
        <v>2599.9999999999995</v>
      </c>
      <c r="G16" t="s">
        <v>35</v>
      </c>
      <c r="AX16" s="43"/>
      <c r="CC16" s="78" t="s">
        <v>63</v>
      </c>
      <c r="CD16" s="5">
        <v>100</v>
      </c>
      <c r="CE16">
        <f t="shared" si="0"/>
        <v>1.25</v>
      </c>
      <c r="CG16">
        <f t="shared" si="1"/>
        <v>0.83</v>
      </c>
      <c r="CJ16" t="s">
        <v>592</v>
      </c>
      <c r="CK16">
        <v>1960</v>
      </c>
      <c r="CO16" s="5"/>
      <c r="CP16" s="5">
        <f>CP15</f>
        <v>1.9500000000000002</v>
      </c>
      <c r="CQ16" s="5" t="s">
        <v>23</v>
      </c>
      <c r="CR16" s="36"/>
      <c r="CS16" s="5">
        <f>CS15</f>
        <v>1.35</v>
      </c>
      <c r="CT16" s="11" t="s">
        <v>23</v>
      </c>
      <c r="CU16" s="36"/>
      <c r="CV16" s="5">
        <f>CV9-1</f>
        <v>1.1000000000000001</v>
      </c>
      <c r="CW16" s="5" t="s">
        <v>23</v>
      </c>
      <c r="CY16" s="14" t="s">
        <v>507</v>
      </c>
      <c r="CZ16" s="14">
        <f>CZ12*CV38</f>
        <v>3.1536600999999997</v>
      </c>
      <c r="DA16" s="14" t="s">
        <v>119</v>
      </c>
    </row>
    <row r="17" spans="1:105" x14ac:dyDescent="0.25">
      <c r="A17" s="6" t="s">
        <v>78</v>
      </c>
      <c r="B17" s="4"/>
      <c r="C17" s="2"/>
      <c r="E17" t="s">
        <v>40</v>
      </c>
      <c r="F17">
        <f>2*10^-2</f>
        <v>0.02</v>
      </c>
      <c r="G17" t="s">
        <v>23</v>
      </c>
      <c r="AX17" s="43"/>
      <c r="CC17" s="78" t="s">
        <v>67</v>
      </c>
      <c r="CD17" s="5">
        <v>120</v>
      </c>
      <c r="CE17">
        <f t="shared" si="0"/>
        <v>1.0416666666666667</v>
      </c>
      <c r="CG17">
        <f t="shared" si="1"/>
        <v>0.69166666666666665</v>
      </c>
      <c r="CJ17" t="s">
        <v>15</v>
      </c>
      <c r="CK17">
        <f>CK4-CK16</f>
        <v>47</v>
      </c>
      <c r="CL17" t="s">
        <v>30</v>
      </c>
      <c r="CO17" s="5"/>
      <c r="CP17" s="5">
        <f>4.7*$C$10*10^-2</f>
        <v>2.35</v>
      </c>
      <c r="CQ17" s="5" t="s">
        <v>23</v>
      </c>
      <c r="CR17" s="36"/>
      <c r="CS17" s="5">
        <f>2.7*$C$10*10^-2</f>
        <v>1.35</v>
      </c>
      <c r="CT17" s="11" t="s">
        <v>23</v>
      </c>
      <c r="CU17" s="36"/>
      <c r="CV17" s="5">
        <f>CV16</f>
        <v>1.1000000000000001</v>
      </c>
      <c r="CW17" s="5" t="s">
        <v>23</v>
      </c>
      <c r="CY17" s="14" t="s">
        <v>509</v>
      </c>
      <c r="CZ17" s="14">
        <f>CZ14*CV38</f>
        <v>1.8512694999999999</v>
      </c>
      <c r="DA17" s="14" t="s">
        <v>119</v>
      </c>
    </row>
    <row r="18" spans="1:105" x14ac:dyDescent="0.25">
      <c r="A18" s="5" t="s">
        <v>593</v>
      </c>
      <c r="B18" s="5">
        <v>0.6</v>
      </c>
      <c r="C18" s="5" t="s">
        <v>8</v>
      </c>
      <c r="AX18" s="43"/>
      <c r="CC18" s="5" t="s">
        <v>77</v>
      </c>
      <c r="CD18" s="5">
        <v>85</v>
      </c>
      <c r="CE18">
        <f t="shared" si="0"/>
        <v>1.4705882352941178</v>
      </c>
      <c r="CG18">
        <f t="shared" si="1"/>
        <v>0.97647058823529409</v>
      </c>
      <c r="CH18">
        <v>0</v>
      </c>
      <c r="CJ18" t="s">
        <v>594</v>
      </c>
      <c r="CK18">
        <f>CK16-CK3</f>
        <v>78</v>
      </c>
      <c r="CL18" t="s">
        <v>16</v>
      </c>
      <c r="CO18" s="5"/>
      <c r="CP18" s="5">
        <f>3.4*$C$10*10^-2</f>
        <v>1.7</v>
      </c>
      <c r="CQ18" s="5" t="s">
        <v>23</v>
      </c>
      <c r="CR18" s="36"/>
      <c r="CS18" s="5">
        <f>2.5*$C$10*10^-2</f>
        <v>1.25</v>
      </c>
      <c r="CT18" s="11" t="s">
        <v>23</v>
      </c>
      <c r="CU18" s="36"/>
      <c r="CV18" s="5">
        <f>3*$C$10*10^-2</f>
        <v>1.5</v>
      </c>
      <c r="CW18" s="5" t="s">
        <v>23</v>
      </c>
    </row>
    <row r="19" spans="1:105" x14ac:dyDescent="0.25">
      <c r="A19" s="5" t="s">
        <v>595</v>
      </c>
      <c r="B19" s="5">
        <f>B18*C10*10^-2</f>
        <v>0.3</v>
      </c>
      <c r="C19" s="5" t="s">
        <v>23</v>
      </c>
      <c r="AX19" s="43"/>
      <c r="CC19" s="78" t="s">
        <v>90</v>
      </c>
      <c r="CD19" s="5">
        <v>120</v>
      </c>
      <c r="CE19">
        <f t="shared" si="0"/>
        <v>1.0416666666666667</v>
      </c>
      <c r="CG19">
        <f t="shared" si="1"/>
        <v>0.69166666666666665</v>
      </c>
      <c r="CO19" s="5"/>
      <c r="CP19" s="5">
        <f>CP16</f>
        <v>1.9500000000000002</v>
      </c>
      <c r="CQ19" s="5" t="s">
        <v>23</v>
      </c>
      <c r="CR19" s="36"/>
      <c r="CS19" s="5">
        <f>CS15</f>
        <v>1.35</v>
      </c>
      <c r="CT19" s="11" t="s">
        <v>23</v>
      </c>
      <c r="CU19" s="36"/>
      <c r="CV19" s="5">
        <f>4*$C$10*10^-2</f>
        <v>2</v>
      </c>
      <c r="CW19" s="5" t="s">
        <v>23</v>
      </c>
    </row>
    <row r="20" spans="1:105" x14ac:dyDescent="0.25">
      <c r="A20" s="5" t="s">
        <v>347</v>
      </c>
      <c r="B20" s="5">
        <f>(B11-B19)*(B12-B19)</f>
        <v>83.98</v>
      </c>
      <c r="C20" s="5" t="s">
        <v>33</v>
      </c>
      <c r="AX20" s="43"/>
      <c r="CC20" s="78" t="s">
        <v>103</v>
      </c>
      <c r="CD20" s="5">
        <v>120</v>
      </c>
      <c r="CE20">
        <f t="shared" si="0"/>
        <v>1.0416666666666667</v>
      </c>
      <c r="CG20">
        <f t="shared" si="1"/>
        <v>0.69166666666666665</v>
      </c>
      <c r="CO20" s="5"/>
      <c r="CP20" s="5">
        <f>CP15</f>
        <v>1.9500000000000002</v>
      </c>
      <c r="CQ20" s="5" t="s">
        <v>23</v>
      </c>
      <c r="CR20" s="36"/>
      <c r="CS20" s="5">
        <f>CS15</f>
        <v>1.35</v>
      </c>
      <c r="CT20" s="11" t="s">
        <v>23</v>
      </c>
      <c r="CU20" s="36"/>
      <c r="CV20" s="5">
        <f>CV17</f>
        <v>1.1000000000000001</v>
      </c>
      <c r="CW20" s="5" t="s">
        <v>23</v>
      </c>
    </row>
    <row r="21" spans="1:105" x14ac:dyDescent="0.25">
      <c r="A21" s="5" t="s">
        <v>356</v>
      </c>
      <c r="B21" s="5">
        <f>B20</f>
        <v>83.98</v>
      </c>
      <c r="C21" s="5" t="s">
        <v>33</v>
      </c>
      <c r="AX21" s="43"/>
      <c r="CC21" s="78" t="s">
        <v>113</v>
      </c>
      <c r="CD21" s="5">
        <v>50</v>
      </c>
      <c r="CE21">
        <f t="shared" si="0"/>
        <v>2.5</v>
      </c>
      <c r="CG21">
        <f t="shared" si="1"/>
        <v>1.66</v>
      </c>
      <c r="CH21">
        <v>1</v>
      </c>
      <c r="CJ21" t="s">
        <v>596</v>
      </c>
      <c r="CK21">
        <v>35</v>
      </c>
      <c r="CL21" t="s">
        <v>52</v>
      </c>
      <c r="CO21" s="5"/>
      <c r="CP21" s="5">
        <f>1.6*$C$10*10^-2</f>
        <v>0.8</v>
      </c>
      <c r="CQ21" s="5" t="s">
        <v>23</v>
      </c>
      <c r="CR21" s="36"/>
      <c r="CS21" s="5">
        <f>4*$C$10*10^-2</f>
        <v>2</v>
      </c>
      <c r="CT21" s="11" t="s">
        <v>23</v>
      </c>
      <c r="CU21" s="36"/>
      <c r="CV21" s="5">
        <f>CV17</f>
        <v>1.1000000000000001</v>
      </c>
      <c r="CW21" s="5" t="s">
        <v>23</v>
      </c>
    </row>
    <row r="22" spans="1:105" x14ac:dyDescent="0.25">
      <c r="AX22" s="43"/>
      <c r="CC22" s="78" t="s">
        <v>126</v>
      </c>
      <c r="CD22" s="5">
        <v>40</v>
      </c>
      <c r="CE22">
        <f t="shared" si="0"/>
        <v>3.125</v>
      </c>
      <c r="CF22">
        <v>3</v>
      </c>
      <c r="CG22">
        <f t="shared" si="1"/>
        <v>2.0750000000000002</v>
      </c>
      <c r="CH22">
        <v>2</v>
      </c>
      <c r="CO22" s="5" t="s">
        <v>597</v>
      </c>
      <c r="CP22" s="5">
        <f>SUM(CP11:CP21)</f>
        <v>20</v>
      </c>
      <c r="CQ22" s="5" t="s">
        <v>23</v>
      </c>
      <c r="CR22" s="36"/>
      <c r="CS22" s="5">
        <f>3.4*$C$10*10^-2</f>
        <v>1.7</v>
      </c>
      <c r="CT22" s="11" t="s">
        <v>23</v>
      </c>
      <c r="CU22" s="7"/>
      <c r="CV22" s="5">
        <f>2*$C$10*10^-2</f>
        <v>1</v>
      </c>
      <c r="CW22" s="5" t="s">
        <v>23</v>
      </c>
    </row>
    <row r="23" spans="1:105" x14ac:dyDescent="0.25">
      <c r="AX23" s="43"/>
      <c r="CC23" s="5" t="s">
        <v>134</v>
      </c>
      <c r="CD23" s="5">
        <v>60</v>
      </c>
      <c r="CE23">
        <f t="shared" si="0"/>
        <v>2.0833333333333335</v>
      </c>
      <c r="CG23">
        <f t="shared" si="1"/>
        <v>1.3833333333333333</v>
      </c>
      <c r="CO23" s="40" t="s">
        <v>598</v>
      </c>
      <c r="CQ23" s="44"/>
      <c r="CR23" s="36"/>
      <c r="CS23" s="5">
        <f>CS15</f>
        <v>1.35</v>
      </c>
      <c r="CT23" s="11" t="s">
        <v>23</v>
      </c>
      <c r="CU23" s="5" t="s">
        <v>597</v>
      </c>
      <c r="CV23" s="5">
        <f>SUM(CV11:CV22)</f>
        <v>17.5</v>
      </c>
      <c r="CW23" s="5" t="s">
        <v>23</v>
      </c>
    </row>
    <row r="24" spans="1:105" x14ac:dyDescent="0.25">
      <c r="A24" s="21" t="s">
        <v>534</v>
      </c>
      <c r="B24" s="4"/>
      <c r="C24" s="4"/>
      <c r="D24" s="4"/>
      <c r="E24" s="4"/>
      <c r="F24" s="2"/>
      <c r="H24" s="14" t="s">
        <v>70</v>
      </c>
      <c r="I24" s="5"/>
      <c r="J24" s="9"/>
      <c r="L24" s="21" t="s">
        <v>73</v>
      </c>
      <c r="M24" s="4"/>
      <c r="N24" s="4"/>
      <c r="O24" s="4"/>
      <c r="P24" s="4"/>
      <c r="Q24" s="4"/>
      <c r="R24" s="4"/>
      <c r="S24" s="4"/>
      <c r="T24" s="4"/>
      <c r="U24" s="4"/>
      <c r="V24" s="4"/>
      <c r="W24" s="2"/>
      <c r="AX24" s="43"/>
      <c r="CC24" s="5" t="s">
        <v>146</v>
      </c>
      <c r="CD24" s="5">
        <v>60</v>
      </c>
      <c r="CE24">
        <f t="shared" si="0"/>
        <v>2.0833333333333335</v>
      </c>
      <c r="CF24">
        <v>2</v>
      </c>
      <c r="CG24">
        <f t="shared" si="1"/>
        <v>1.3833333333333333</v>
      </c>
      <c r="CH24">
        <v>1</v>
      </c>
      <c r="CO24" s="5" t="s">
        <v>590</v>
      </c>
      <c r="CP24" s="5">
        <f>CP9</f>
        <v>2.95</v>
      </c>
      <c r="CQ24" s="5" t="s">
        <v>23</v>
      </c>
      <c r="CR24" s="36"/>
      <c r="CS24" s="5">
        <f>CS15</f>
        <v>1.35</v>
      </c>
      <c r="CT24" s="11" t="s">
        <v>23</v>
      </c>
      <c r="CU24" s="40" t="s">
        <v>598</v>
      </c>
      <c r="CW24" s="44"/>
    </row>
    <row r="25" spans="1:105" x14ac:dyDescent="0.25">
      <c r="A25" s="6" t="s">
        <v>599</v>
      </c>
      <c r="B25" s="4"/>
      <c r="C25" s="2"/>
      <c r="D25" s="6" t="s">
        <v>600</v>
      </c>
      <c r="E25" s="4"/>
      <c r="F25" s="2"/>
      <c r="H25" s="27" t="s">
        <v>82</v>
      </c>
      <c r="I25" s="11"/>
      <c r="J25" s="5"/>
      <c r="L25" s="5" t="s">
        <v>593</v>
      </c>
      <c r="M25" s="5">
        <v>0.3</v>
      </c>
      <c r="N25" s="5" t="s">
        <v>8</v>
      </c>
      <c r="O25" s="6" t="s">
        <v>86</v>
      </c>
      <c r="P25" s="79"/>
      <c r="Q25" s="79"/>
      <c r="R25" s="9" t="s">
        <v>601</v>
      </c>
      <c r="S25" s="5">
        <v>3.1</v>
      </c>
      <c r="T25" s="5" t="s">
        <v>8</v>
      </c>
      <c r="U25" s="6" t="s">
        <v>81</v>
      </c>
      <c r="V25" s="4"/>
      <c r="W25" s="2"/>
      <c r="Z25" s="14" t="s">
        <v>602</v>
      </c>
      <c r="AA25" s="5"/>
      <c r="AB25" s="5"/>
      <c r="AD25" s="14" t="s">
        <v>36</v>
      </c>
      <c r="AE25" s="5"/>
      <c r="AF25" s="5"/>
      <c r="AH25" s="14" t="s">
        <v>603</v>
      </c>
      <c r="AI25" s="5"/>
      <c r="AJ25" s="5"/>
      <c r="AL25" s="14" t="s">
        <v>65</v>
      </c>
      <c r="AM25" s="5"/>
      <c r="AN25" s="5"/>
      <c r="AP25" s="27" t="s">
        <v>604</v>
      </c>
      <c r="AQ25" s="5"/>
      <c r="AR25" s="5"/>
      <c r="AT25" s="17" t="s">
        <v>559</v>
      </c>
      <c r="AX25" s="43"/>
      <c r="AY25" s="21" t="s">
        <v>605</v>
      </c>
      <c r="AZ25" s="4"/>
      <c r="BA25" s="2"/>
      <c r="BC25" s="21" t="s">
        <v>372</v>
      </c>
      <c r="BD25" s="4"/>
      <c r="BE25" s="2"/>
      <c r="BH25" s="14" t="s">
        <v>73</v>
      </c>
      <c r="BI25" s="5"/>
      <c r="BJ25" s="5"/>
      <c r="BL25" s="5" t="s">
        <v>606</v>
      </c>
      <c r="BM25" s="5"/>
      <c r="BN25" s="5"/>
      <c r="BQ25" t="s">
        <v>125</v>
      </c>
      <c r="BR25">
        <f>K112+BM44</f>
        <v>201.33910913872455</v>
      </c>
      <c r="BS25" t="s">
        <v>33</v>
      </c>
      <c r="CC25" s="5" t="s">
        <v>157</v>
      </c>
      <c r="CD25" s="5">
        <v>50</v>
      </c>
      <c r="CE25">
        <f t="shared" si="0"/>
        <v>2.5</v>
      </c>
      <c r="CF25">
        <v>2</v>
      </c>
      <c r="CG25">
        <f t="shared" si="1"/>
        <v>1.66</v>
      </c>
      <c r="CH25">
        <v>1</v>
      </c>
      <c r="CO25" s="5"/>
      <c r="CP25" s="5">
        <f>3*$C$10*10^-2</f>
        <v>1.5</v>
      </c>
      <c r="CQ25" s="5" t="s">
        <v>23</v>
      </c>
      <c r="CR25" s="36"/>
      <c r="CS25" s="5">
        <f>4*$C$10*10^-2</f>
        <v>2</v>
      </c>
      <c r="CT25" s="11" t="s">
        <v>23</v>
      </c>
      <c r="CU25" s="9" t="s">
        <v>607</v>
      </c>
      <c r="CV25" s="5">
        <f>6.5*$C$10*10^-2</f>
        <v>3.25</v>
      </c>
      <c r="CW25" s="5" t="s">
        <v>23</v>
      </c>
    </row>
    <row r="26" spans="1:105" x14ac:dyDescent="0.25">
      <c r="A26" s="5" t="s">
        <v>608</v>
      </c>
      <c r="B26" s="5">
        <v>6.5</v>
      </c>
      <c r="C26" s="5" t="s">
        <v>8</v>
      </c>
      <c r="D26" s="5" t="s">
        <v>609</v>
      </c>
      <c r="E26" s="5">
        <v>4</v>
      </c>
      <c r="F26" s="5"/>
      <c r="H26" s="5" t="s">
        <v>95</v>
      </c>
      <c r="I26" s="5">
        <v>14.8</v>
      </c>
      <c r="J26" s="7" t="s">
        <v>96</v>
      </c>
      <c r="L26" s="5" t="s">
        <v>595</v>
      </c>
      <c r="M26" s="5">
        <f>M25*$C$10*10^-2</f>
        <v>0.15</v>
      </c>
      <c r="N26" s="5" t="s">
        <v>23</v>
      </c>
      <c r="O26" s="5" t="s">
        <v>610</v>
      </c>
      <c r="P26" s="5">
        <v>4.2</v>
      </c>
      <c r="Q26" s="11" t="s">
        <v>8</v>
      </c>
      <c r="R26" s="36"/>
      <c r="S26" s="5">
        <v>4.4000000000000004</v>
      </c>
      <c r="T26" s="5" t="s">
        <v>8</v>
      </c>
      <c r="U26" s="5" t="s">
        <v>611</v>
      </c>
      <c r="V26" s="5">
        <f>(P42+P53+P68+P82+P77+S35+S46+S59)-S79-S90</f>
        <v>102.61500000000004</v>
      </c>
      <c r="W26" s="5" t="s">
        <v>33</v>
      </c>
      <c r="Z26" s="5" t="s">
        <v>612</v>
      </c>
      <c r="AA26" s="5">
        <v>2</v>
      </c>
      <c r="AB26" s="5"/>
      <c r="AD26" s="5" t="s">
        <v>124</v>
      </c>
      <c r="AE26" s="5">
        <f>B11</f>
        <v>11.35</v>
      </c>
      <c r="AF26" s="5" t="s">
        <v>23</v>
      </c>
      <c r="AH26" s="27" t="s">
        <v>613</v>
      </c>
      <c r="AI26" s="5"/>
      <c r="AJ26" s="5"/>
      <c r="AL26" s="27" t="s">
        <v>75</v>
      </c>
      <c r="AM26" s="5"/>
      <c r="AN26" s="5"/>
      <c r="AP26" s="5" t="s">
        <v>614</v>
      </c>
      <c r="AQ26" s="5">
        <f>2.5*10^-2</f>
        <v>2.5000000000000001E-2</v>
      </c>
      <c r="AR26" s="5" t="s">
        <v>23</v>
      </c>
      <c r="AT26" s="6" t="s">
        <v>615</v>
      </c>
      <c r="AU26" s="4"/>
      <c r="AV26" s="2"/>
      <c r="AX26" s="43"/>
      <c r="AY26" s="28" t="s">
        <v>616</v>
      </c>
      <c r="AZ26" s="19"/>
      <c r="BA26" s="26"/>
      <c r="BC26" s="5" t="s">
        <v>611</v>
      </c>
      <c r="BD26" s="5">
        <f>AZ33+AZ45+AZ54</f>
        <v>126.49000000000001</v>
      </c>
      <c r="BE26" s="5" t="s">
        <v>33</v>
      </c>
      <c r="BH26" s="9" t="s">
        <v>43</v>
      </c>
      <c r="BI26" s="9">
        <v>7.8</v>
      </c>
      <c r="BJ26" s="9" t="s">
        <v>8</v>
      </c>
      <c r="BL26" s="5" t="s">
        <v>617</v>
      </c>
      <c r="BM26" s="5">
        <v>1.1000000000000001</v>
      </c>
      <c r="BN26" s="5" t="s">
        <v>8</v>
      </c>
      <c r="CC26" s="5" t="s">
        <v>167</v>
      </c>
      <c r="CD26" s="5">
        <v>50</v>
      </c>
      <c r="CE26">
        <f t="shared" si="0"/>
        <v>2.5</v>
      </c>
      <c r="CF26">
        <v>2</v>
      </c>
      <c r="CG26">
        <f t="shared" si="1"/>
        <v>1.66</v>
      </c>
      <c r="CH26">
        <v>1</v>
      </c>
      <c r="CO26" s="5"/>
      <c r="CP26" s="5">
        <f>1.7*$C$10*10^-2</f>
        <v>0.85</v>
      </c>
      <c r="CQ26" s="5" t="s">
        <v>23</v>
      </c>
      <c r="CR26" s="36"/>
      <c r="CS26" s="5">
        <f>3*$C$10*10^-2</f>
        <v>1.5</v>
      </c>
      <c r="CT26" s="11" t="s">
        <v>23</v>
      </c>
      <c r="CU26" s="36"/>
      <c r="CV26" s="5">
        <f>CV17</f>
        <v>1.1000000000000001</v>
      </c>
      <c r="CW26" s="5" t="s">
        <v>23</v>
      </c>
    </row>
    <row r="27" spans="1:105" x14ac:dyDescent="0.25">
      <c r="A27" s="5" t="s">
        <v>618</v>
      </c>
      <c r="B27" s="5">
        <v>27.3</v>
      </c>
      <c r="C27" s="5" t="s">
        <v>8</v>
      </c>
      <c r="D27" s="5" t="s">
        <v>313</v>
      </c>
      <c r="E27" s="5">
        <f>E26*B36</f>
        <v>4.4800000000000004</v>
      </c>
      <c r="F27" s="5" t="s">
        <v>33</v>
      </c>
      <c r="H27" s="5" t="s">
        <v>107</v>
      </c>
      <c r="I27" s="5">
        <v>2.9</v>
      </c>
      <c r="J27" s="5" t="s">
        <v>108</v>
      </c>
      <c r="L27" s="5" t="s">
        <v>610</v>
      </c>
      <c r="M27" s="5">
        <v>5.9</v>
      </c>
      <c r="N27" s="5" t="s">
        <v>8</v>
      </c>
      <c r="O27" s="5" t="s">
        <v>619</v>
      </c>
      <c r="P27" s="5">
        <f>P26*$C$10*10^-2</f>
        <v>2.1</v>
      </c>
      <c r="Q27" s="11" t="s">
        <v>23</v>
      </c>
      <c r="R27" s="36"/>
      <c r="S27" s="5">
        <v>2.2999999999999998</v>
      </c>
      <c r="T27" s="5" t="s">
        <v>8</v>
      </c>
      <c r="U27" s="5" t="s">
        <v>620</v>
      </c>
      <c r="V27" s="5">
        <f>ROUND(V26/$F$9,0)</f>
        <v>6737</v>
      </c>
      <c r="W27" s="5"/>
      <c r="Z27" s="27" t="s">
        <v>75</v>
      </c>
      <c r="AA27" s="5"/>
      <c r="AB27" s="5"/>
      <c r="AD27" s="5" t="s">
        <v>14</v>
      </c>
      <c r="AE27" s="5">
        <f>(F4*10^-2)*2+(F7*10^-2)</f>
        <v>0.22600000000000003</v>
      </c>
      <c r="AF27" s="5" t="s">
        <v>23</v>
      </c>
      <c r="AH27" s="5" t="s">
        <v>14</v>
      </c>
      <c r="AI27" s="5">
        <v>1</v>
      </c>
      <c r="AJ27" s="5" t="s">
        <v>8</v>
      </c>
      <c r="AL27" s="5" t="s">
        <v>86</v>
      </c>
      <c r="AM27" s="5"/>
      <c r="AN27" s="5"/>
      <c r="AP27" s="5" t="s">
        <v>7</v>
      </c>
      <c r="AQ27" s="5">
        <f>AE26/12</f>
        <v>0.9458333333333333</v>
      </c>
      <c r="AR27" s="5" t="s">
        <v>23</v>
      </c>
      <c r="AT27" s="9" t="s">
        <v>621</v>
      </c>
      <c r="AU27" s="5">
        <f>(3+4)/2</f>
        <v>3.5</v>
      </c>
      <c r="AV27" s="5" t="s">
        <v>622</v>
      </c>
      <c r="AX27" s="43"/>
      <c r="AY27" s="5" t="s">
        <v>623</v>
      </c>
      <c r="AZ27" s="5">
        <f>B30</f>
        <v>44.362500000000004</v>
      </c>
      <c r="BA27" s="5" t="s">
        <v>33</v>
      </c>
      <c r="BC27" s="5" t="s">
        <v>620</v>
      </c>
      <c r="BD27" s="5">
        <f>ROUND(BD26/$F$9,0)</f>
        <v>8304</v>
      </c>
      <c r="BE27" s="5"/>
      <c r="BH27" s="9" t="s">
        <v>147</v>
      </c>
      <c r="BI27" s="9">
        <f>B12</f>
        <v>7.9</v>
      </c>
      <c r="BJ27" s="9" t="s">
        <v>23</v>
      </c>
      <c r="BL27" s="5" t="s">
        <v>624</v>
      </c>
      <c r="BM27" s="5">
        <f>(BI27*BM26)/BI26</f>
        <v>1.1141025641025644</v>
      </c>
      <c r="BN27" s="5" t="s">
        <v>23</v>
      </c>
      <c r="BQ27" s="58" t="s">
        <v>525</v>
      </c>
      <c r="BR27" s="58" t="s">
        <v>526</v>
      </c>
      <c r="BS27" s="58" t="s">
        <v>198</v>
      </c>
      <c r="BT27" s="58" t="s">
        <v>527</v>
      </c>
      <c r="BU27" s="58" t="s">
        <v>625</v>
      </c>
      <c r="BV27" s="58" t="s">
        <v>529</v>
      </c>
      <c r="CC27" s="5" t="s">
        <v>175</v>
      </c>
      <c r="CD27" s="5">
        <v>60</v>
      </c>
      <c r="CE27">
        <f t="shared" si="0"/>
        <v>2.0833333333333335</v>
      </c>
      <c r="CF27">
        <v>2</v>
      </c>
      <c r="CG27">
        <f t="shared" si="1"/>
        <v>1.3833333333333333</v>
      </c>
      <c r="CH27">
        <v>1</v>
      </c>
      <c r="CO27" s="5"/>
      <c r="CP27" s="5">
        <f>CP19</f>
        <v>1.9500000000000002</v>
      </c>
      <c r="CQ27" s="5" t="s">
        <v>23</v>
      </c>
      <c r="CR27" s="36"/>
      <c r="CS27" s="5">
        <f>CS15</f>
        <v>1.35</v>
      </c>
      <c r="CT27" s="11" t="s">
        <v>23</v>
      </c>
      <c r="CU27" s="36"/>
      <c r="CV27" s="5">
        <f>CV26</f>
        <v>1.1000000000000001</v>
      </c>
      <c r="CW27" s="5" t="s">
        <v>23</v>
      </c>
    </row>
    <row r="28" spans="1:105" x14ac:dyDescent="0.25">
      <c r="A28" s="5" t="s">
        <v>614</v>
      </c>
      <c r="B28" s="5">
        <f>B26*$C$10*10^-2</f>
        <v>3.25</v>
      </c>
      <c r="C28" s="5" t="s">
        <v>23</v>
      </c>
      <c r="D28" s="5" t="s">
        <v>626</v>
      </c>
      <c r="E28" s="5">
        <f>B50*E26</f>
        <v>3.6400000000000006</v>
      </c>
      <c r="F28" s="5" t="s">
        <v>33</v>
      </c>
      <c r="H28" s="5"/>
      <c r="I28" s="5"/>
      <c r="J28" s="5"/>
      <c r="L28" s="5" t="s">
        <v>619</v>
      </c>
      <c r="M28" s="5">
        <f>M27*C10*10^-2</f>
        <v>2.95</v>
      </c>
      <c r="N28" s="11" t="s">
        <v>23</v>
      </c>
      <c r="O28" s="9" t="s">
        <v>627</v>
      </c>
      <c r="R28" s="36"/>
      <c r="S28" s="5">
        <v>1.5</v>
      </c>
      <c r="T28" s="5" t="s">
        <v>8</v>
      </c>
      <c r="U28" s="14" t="s">
        <v>513</v>
      </c>
      <c r="V28" s="5">
        <f>V27*$F$11</f>
        <v>16842.5</v>
      </c>
      <c r="W28" s="5" t="s">
        <v>119</v>
      </c>
      <c r="Z28" s="5" t="s">
        <v>628</v>
      </c>
      <c r="AA28" s="5">
        <v>1.7</v>
      </c>
      <c r="AB28" s="5" t="s">
        <v>8</v>
      </c>
      <c r="AD28" s="5" t="s">
        <v>629</v>
      </c>
      <c r="AE28" s="5">
        <f>(3.491-3.24)</f>
        <v>0.25099999999999989</v>
      </c>
      <c r="AF28" s="5" t="s">
        <v>23</v>
      </c>
      <c r="AH28" s="5" t="s">
        <v>158</v>
      </c>
      <c r="AI28" s="5">
        <f>(1*50)*10^-2</f>
        <v>0.5</v>
      </c>
      <c r="AJ28" s="5" t="s">
        <v>8</v>
      </c>
      <c r="AL28" s="5" t="s">
        <v>630</v>
      </c>
      <c r="AM28" s="5">
        <v>11</v>
      </c>
      <c r="AN28" s="5"/>
      <c r="AP28" s="5" t="s">
        <v>54</v>
      </c>
      <c r="AQ28" s="5">
        <f>AM36</f>
        <v>7.7</v>
      </c>
      <c r="AR28" s="5" t="s">
        <v>23</v>
      </c>
      <c r="AT28" s="7"/>
      <c r="AU28" s="5">
        <f>AU27*2.62*10^-2</f>
        <v>9.1700000000000004E-2</v>
      </c>
      <c r="AV28" s="5" t="s">
        <v>23</v>
      </c>
      <c r="AX28" s="43"/>
      <c r="AY28" s="5" t="s">
        <v>609</v>
      </c>
      <c r="AZ28" s="5">
        <v>7</v>
      </c>
      <c r="BA28" s="5"/>
      <c r="BC28" s="14" t="s">
        <v>513</v>
      </c>
      <c r="BD28" s="5">
        <f>BD27*$F$11</f>
        <v>20760</v>
      </c>
      <c r="BE28" s="5" t="s">
        <v>119</v>
      </c>
      <c r="BH28" s="5" t="s">
        <v>631</v>
      </c>
      <c r="BI28" s="5">
        <v>2.7</v>
      </c>
      <c r="BJ28" s="5" t="s">
        <v>8</v>
      </c>
      <c r="BL28" s="5" t="s">
        <v>632</v>
      </c>
      <c r="BM28" s="5">
        <v>0.8</v>
      </c>
      <c r="BN28" s="5" t="s">
        <v>8</v>
      </c>
      <c r="BQ28" s="59"/>
      <c r="BR28" s="59"/>
      <c r="BS28" s="59"/>
      <c r="BT28" s="59"/>
      <c r="BU28" s="59"/>
      <c r="BV28" s="59"/>
      <c r="CC28" s="5" t="s">
        <v>185</v>
      </c>
      <c r="CD28" s="5">
        <v>50</v>
      </c>
      <c r="CE28">
        <f t="shared" si="0"/>
        <v>2.5</v>
      </c>
      <c r="CG28">
        <f t="shared" si="1"/>
        <v>1.66</v>
      </c>
      <c r="CO28" s="5"/>
      <c r="CP28" s="5">
        <f>CP16</f>
        <v>1.9500000000000002</v>
      </c>
      <c r="CQ28" s="5" t="s">
        <v>23</v>
      </c>
      <c r="CR28" s="36"/>
      <c r="CS28" s="5">
        <f>CS15</f>
        <v>1.35</v>
      </c>
      <c r="CT28" s="11" t="s">
        <v>23</v>
      </c>
      <c r="CU28" s="36"/>
      <c r="CV28" s="5">
        <f>3.5*$C$10*10^-2</f>
        <v>1.75</v>
      </c>
      <c r="CW28" s="5" t="s">
        <v>23</v>
      </c>
    </row>
    <row r="29" spans="1:105" x14ac:dyDescent="0.25">
      <c r="A29" s="5" t="s">
        <v>633</v>
      </c>
      <c r="B29" s="5">
        <f>B27*$C$10*10^-2</f>
        <v>13.65</v>
      </c>
      <c r="C29" s="5" t="s">
        <v>23</v>
      </c>
      <c r="D29" s="5" t="s">
        <v>178</v>
      </c>
      <c r="E29" s="5">
        <f>E27-E28</f>
        <v>0.83999999999999986</v>
      </c>
      <c r="F29" s="5" t="s">
        <v>33</v>
      </c>
      <c r="H29" s="5" t="s">
        <v>634</v>
      </c>
      <c r="I29" s="5">
        <v>16.100000000000001</v>
      </c>
      <c r="J29" s="5" t="s">
        <v>98</v>
      </c>
      <c r="L29" s="6" t="s">
        <v>85</v>
      </c>
      <c r="M29" s="4"/>
      <c r="N29" s="2"/>
      <c r="O29" s="36"/>
      <c r="P29" s="2">
        <v>7.1</v>
      </c>
      <c r="Q29" s="11" t="s">
        <v>8</v>
      </c>
      <c r="R29" s="7"/>
      <c r="S29" s="5">
        <v>6</v>
      </c>
      <c r="T29" s="5" t="s">
        <v>8</v>
      </c>
      <c r="U29" s="2" t="s">
        <v>128</v>
      </c>
      <c r="V29" s="5">
        <f>V27*($F$9-$F$8)</f>
        <v>19.672039999999992</v>
      </c>
      <c r="W29" s="5" t="s">
        <v>33</v>
      </c>
      <c r="Z29" s="5" t="s">
        <v>635</v>
      </c>
      <c r="AA29" s="5">
        <f>(AA28*50)*10^-2</f>
        <v>0.85</v>
      </c>
      <c r="AB29" s="5" t="s">
        <v>23</v>
      </c>
      <c r="AD29" s="5" t="s">
        <v>636</v>
      </c>
      <c r="AE29" s="5">
        <v>0.9</v>
      </c>
      <c r="AF29" s="5" t="s">
        <v>23</v>
      </c>
      <c r="AH29" s="5" t="s">
        <v>12</v>
      </c>
      <c r="AI29" s="5">
        <v>1</v>
      </c>
      <c r="AJ29" s="5" t="s">
        <v>8</v>
      </c>
      <c r="AL29" s="5" t="s">
        <v>13</v>
      </c>
      <c r="AM29" s="5">
        <f>0.17</f>
        <v>0.17</v>
      </c>
      <c r="AN29" s="5" t="s">
        <v>23</v>
      </c>
      <c r="AP29" s="5" t="s">
        <v>136</v>
      </c>
      <c r="AQ29" s="5">
        <f>AQ27*AQ28</f>
        <v>7.2829166666666669</v>
      </c>
      <c r="AR29" s="5" t="s">
        <v>33</v>
      </c>
      <c r="AT29" s="9" t="s">
        <v>165</v>
      </c>
      <c r="AU29" s="5">
        <f>1/4</f>
        <v>0.25</v>
      </c>
      <c r="AV29" s="5" t="s">
        <v>622</v>
      </c>
      <c r="AX29" s="43"/>
      <c r="AY29" s="5" t="s">
        <v>637</v>
      </c>
      <c r="AZ29" s="5">
        <f>B36*AZ28</f>
        <v>7.8400000000000007</v>
      </c>
      <c r="BA29" s="5" t="s">
        <v>33</v>
      </c>
      <c r="BC29" s="5" t="s">
        <v>128</v>
      </c>
      <c r="BD29" s="5">
        <f>BD27*($F$9-$F$8)</f>
        <v>24.247679999999992</v>
      </c>
      <c r="BE29" s="5" t="s">
        <v>33</v>
      </c>
      <c r="BH29" s="5" t="s">
        <v>638</v>
      </c>
      <c r="BI29" s="5">
        <f>(BI27*BI28)/BI26</f>
        <v>2.7346153846153851</v>
      </c>
      <c r="BJ29" s="5" t="s">
        <v>23</v>
      </c>
      <c r="BL29" s="9" t="s">
        <v>624</v>
      </c>
      <c r="BM29" s="9">
        <f>(BI27*BM28)/BI26</f>
        <v>0.81025641025641026</v>
      </c>
      <c r="BN29" s="9" t="s">
        <v>23</v>
      </c>
      <c r="BQ29" s="63" t="s">
        <v>534</v>
      </c>
      <c r="BR29" s="64"/>
      <c r="BS29" s="64"/>
      <c r="BT29" s="64"/>
      <c r="BU29" s="64"/>
      <c r="BV29" s="64"/>
      <c r="CC29" s="5" t="s">
        <v>196</v>
      </c>
      <c r="CD29" s="5">
        <v>50</v>
      </c>
      <c r="CE29">
        <f t="shared" si="0"/>
        <v>2.5</v>
      </c>
      <c r="CG29">
        <f t="shared" si="1"/>
        <v>1.66</v>
      </c>
      <c r="CO29" s="5"/>
      <c r="CP29" s="5">
        <f>2.6*$C$10*10^-2</f>
        <v>1.3</v>
      </c>
      <c r="CQ29" s="5" t="s">
        <v>23</v>
      </c>
      <c r="CR29" s="7"/>
      <c r="CS29" s="5">
        <f>4*$C$10*10^-2</f>
        <v>2</v>
      </c>
      <c r="CT29" s="11" t="s">
        <v>23</v>
      </c>
      <c r="CU29" s="36"/>
      <c r="CV29" s="5">
        <f>3*$C$10*10^-2</f>
        <v>1.5</v>
      </c>
      <c r="CW29" s="5" t="s">
        <v>23</v>
      </c>
    </row>
    <row r="30" spans="1:105" x14ac:dyDescent="0.25">
      <c r="A30" s="5" t="s">
        <v>639</v>
      </c>
      <c r="B30" s="5">
        <f>B28*B29</f>
        <v>44.362500000000004</v>
      </c>
      <c r="C30" s="5" t="s">
        <v>33</v>
      </c>
      <c r="D30" s="48" t="s">
        <v>606</v>
      </c>
      <c r="F30" s="44"/>
      <c r="H30" s="5" t="s">
        <v>640</v>
      </c>
      <c r="I30" s="5">
        <f>(I29*50)*10^-2</f>
        <v>8.0500000000000007</v>
      </c>
      <c r="J30" s="5" t="s">
        <v>23</v>
      </c>
      <c r="L30" s="6" t="s">
        <v>641</v>
      </c>
      <c r="M30" s="4"/>
      <c r="N30" s="2"/>
      <c r="O30" s="36"/>
      <c r="P30" s="2">
        <v>1.1000000000000001</v>
      </c>
      <c r="Q30" s="5" t="s">
        <v>8</v>
      </c>
      <c r="R30" t="s">
        <v>642</v>
      </c>
      <c r="S30" s="5">
        <f>S25*$C$10*10^-2</f>
        <v>1.55</v>
      </c>
      <c r="T30" s="5" t="s">
        <v>23</v>
      </c>
      <c r="U30" s="2" t="s">
        <v>138</v>
      </c>
      <c r="V30" s="5">
        <f>V29*(($F$4)*10^-2)</f>
        <v>2.1245803199999993</v>
      </c>
      <c r="W30" s="5" t="s">
        <v>21</v>
      </c>
      <c r="Z30" s="5" t="s">
        <v>643</v>
      </c>
      <c r="AA30" s="5">
        <v>3.8</v>
      </c>
      <c r="AB30" s="5" t="s">
        <v>8</v>
      </c>
      <c r="AD30" s="5" t="s">
        <v>644</v>
      </c>
      <c r="AE30" s="5">
        <f>AE29+AE28</f>
        <v>1.1509999999999998</v>
      </c>
      <c r="AF30" s="5" t="s">
        <v>23</v>
      </c>
      <c r="AH30" s="5" t="s">
        <v>645</v>
      </c>
      <c r="AI30" s="5">
        <f>(AI29*50)*10^-2</f>
        <v>0.5</v>
      </c>
      <c r="AJ30" s="5" t="s">
        <v>23</v>
      </c>
      <c r="AL30" s="9" t="s">
        <v>646</v>
      </c>
      <c r="AM30" s="9">
        <f>(0.3*50)*10^-2</f>
        <v>0.15</v>
      </c>
      <c r="AN30" s="9" t="s">
        <v>23</v>
      </c>
      <c r="AP30" s="5" t="s">
        <v>205</v>
      </c>
      <c r="AQ30" s="5">
        <f>AQ29*AQ26</f>
        <v>0.1820729166666667</v>
      </c>
      <c r="AR30" s="5" t="s">
        <v>21</v>
      </c>
      <c r="AT30" s="36"/>
      <c r="AU30" s="9">
        <f>AU29*2.62*10^-2</f>
        <v>6.5500000000000003E-3</v>
      </c>
      <c r="AV30" s="9" t="s">
        <v>23</v>
      </c>
      <c r="AX30" s="43"/>
      <c r="AY30" s="5" t="s">
        <v>647</v>
      </c>
      <c r="AZ30" s="5">
        <f>B50*AZ28</f>
        <v>6.370000000000001</v>
      </c>
      <c r="BA30" s="5" t="s">
        <v>33</v>
      </c>
      <c r="BC30" s="5" t="s">
        <v>138</v>
      </c>
      <c r="BD30" s="5">
        <f>BD29*(($F$4)*10^-2)</f>
        <v>2.6187494399999993</v>
      </c>
      <c r="BE30" s="5" t="s">
        <v>21</v>
      </c>
      <c r="BH30" s="5" t="s">
        <v>648</v>
      </c>
      <c r="BI30" s="5">
        <v>3.8</v>
      </c>
      <c r="BJ30" s="5" t="s">
        <v>8</v>
      </c>
      <c r="BL30" s="5" t="s">
        <v>649</v>
      </c>
      <c r="BM30" s="5">
        <v>2</v>
      </c>
      <c r="BN30" s="5"/>
      <c r="BQ30" s="58" t="s">
        <v>260</v>
      </c>
      <c r="BR30" t="s">
        <v>541</v>
      </c>
      <c r="BS30" s="69">
        <f>AZ61</f>
        <v>20760</v>
      </c>
      <c r="BT30" t="s">
        <v>119</v>
      </c>
      <c r="BU30" s="69">
        <f>BS30/$BR$25</f>
        <v>103.10962479572791</v>
      </c>
      <c r="CC30" s="5" t="s">
        <v>207</v>
      </c>
      <c r="CD30" s="5">
        <v>40</v>
      </c>
      <c r="CE30">
        <f t="shared" si="0"/>
        <v>3.125</v>
      </c>
      <c r="CG30">
        <f t="shared" si="1"/>
        <v>2.0750000000000002</v>
      </c>
      <c r="CO30" s="5"/>
      <c r="CP30" s="5">
        <f>3*$C$10*10^-2</f>
        <v>1.5</v>
      </c>
      <c r="CQ30" s="5" t="s">
        <v>23</v>
      </c>
      <c r="CR30" s="2" t="s">
        <v>597</v>
      </c>
      <c r="CS30" s="5">
        <f>SUM(CS11:CS29)</f>
        <v>27.250000000000004</v>
      </c>
      <c r="CT30" s="11" t="s">
        <v>23</v>
      </c>
      <c r="CU30" s="36"/>
      <c r="CV30" s="5">
        <f>CV26</f>
        <v>1.1000000000000001</v>
      </c>
      <c r="CW30" s="5" t="s">
        <v>23</v>
      </c>
    </row>
    <row r="31" spans="1:105" x14ac:dyDescent="0.25">
      <c r="A31" s="40" t="s">
        <v>650</v>
      </c>
      <c r="D31" s="5" t="s">
        <v>651</v>
      </c>
      <c r="E31" s="5">
        <v>4.7</v>
      </c>
      <c r="F31" s="5" t="s">
        <v>8</v>
      </c>
      <c r="H31" s="5" t="s">
        <v>652</v>
      </c>
      <c r="I31" s="5">
        <f>I30/2</f>
        <v>4.0250000000000004</v>
      </c>
      <c r="J31" s="5" t="s">
        <v>23</v>
      </c>
      <c r="L31" s="5" t="s">
        <v>653</v>
      </c>
      <c r="M31" s="5">
        <v>7.7</v>
      </c>
      <c r="N31" s="11" t="s">
        <v>8</v>
      </c>
      <c r="O31" s="36"/>
      <c r="P31" s="2">
        <v>0.7</v>
      </c>
      <c r="Q31" s="5" t="s">
        <v>8</v>
      </c>
      <c r="S31" s="5">
        <f>S26*$C$10*10^-2</f>
        <v>2.2000000000000002</v>
      </c>
      <c r="T31" s="5" t="s">
        <v>23</v>
      </c>
      <c r="U31" s="80" t="s">
        <v>281</v>
      </c>
      <c r="V31" s="5">
        <f>V30*$F$12</f>
        <v>3611.7865439999987</v>
      </c>
      <c r="W31" s="5" t="s">
        <v>119</v>
      </c>
      <c r="Z31" s="5" t="s">
        <v>654</v>
      </c>
      <c r="AA31" s="5">
        <f>(AA30*50)*10^-2</f>
        <v>1.9000000000000001</v>
      </c>
      <c r="AB31" s="5" t="s">
        <v>23</v>
      </c>
      <c r="AD31" s="5" t="s">
        <v>655</v>
      </c>
      <c r="AE31" s="5">
        <f>AE30*AE26</f>
        <v>13.063849999999997</v>
      </c>
      <c r="AF31" s="5" t="s">
        <v>33</v>
      </c>
      <c r="AH31" s="5" t="s">
        <v>656</v>
      </c>
      <c r="AI31" s="5">
        <v>0.4</v>
      </c>
      <c r="AJ31" s="5" t="s">
        <v>23</v>
      </c>
      <c r="AL31" s="5" t="s">
        <v>657</v>
      </c>
      <c r="AM31" s="5">
        <f>(0.2*50)*10^-2</f>
        <v>0.1</v>
      </c>
      <c r="AN31" s="5" t="s">
        <v>23</v>
      </c>
      <c r="AP31" s="5" t="s">
        <v>658</v>
      </c>
      <c r="AQ31" s="5">
        <v>10</v>
      </c>
      <c r="AR31" s="5"/>
      <c r="AT31" s="6" t="s">
        <v>600</v>
      </c>
      <c r="AU31" s="4"/>
      <c r="AV31" s="2"/>
      <c r="AX31" s="43"/>
      <c r="AY31" s="5" t="s">
        <v>659</v>
      </c>
      <c r="AZ31" s="5">
        <f>B51*AZ28</f>
        <v>1.4699999999999998</v>
      </c>
      <c r="BA31" s="5" t="s">
        <v>33</v>
      </c>
      <c r="BC31" s="14" t="s">
        <v>150</v>
      </c>
      <c r="BD31" s="5">
        <f>BD30*$F$12</f>
        <v>4451.8740479999988</v>
      </c>
      <c r="BE31" s="5" t="s">
        <v>119</v>
      </c>
      <c r="BH31" s="5" t="s">
        <v>660</v>
      </c>
      <c r="BI31" s="5">
        <f>(BI27*BI30)/BI26</f>
        <v>3.8487179487179488</v>
      </c>
      <c r="BJ31" s="5" t="s">
        <v>23</v>
      </c>
      <c r="BL31" s="5" t="s">
        <v>661</v>
      </c>
      <c r="BM31" s="5">
        <v>9</v>
      </c>
      <c r="BN31" s="5"/>
      <c r="BQ31" s="58" t="s">
        <v>537</v>
      </c>
      <c r="BR31" t="s">
        <v>538</v>
      </c>
      <c r="BS31" s="69">
        <f>AZ62</f>
        <v>4451.8740479999988</v>
      </c>
      <c r="BT31" t="s">
        <v>119</v>
      </c>
      <c r="BU31" s="69">
        <f>BS31/$BR$25</f>
        <v>22.111322867394904</v>
      </c>
      <c r="CC31" s="5" t="s">
        <v>217</v>
      </c>
      <c r="CD31" s="5">
        <v>100</v>
      </c>
      <c r="CE31">
        <f t="shared" si="0"/>
        <v>1.25</v>
      </c>
      <c r="CF31">
        <v>1</v>
      </c>
      <c r="CG31">
        <f t="shared" si="1"/>
        <v>0.83</v>
      </c>
      <c r="CH31">
        <v>0</v>
      </c>
      <c r="CO31" s="5"/>
      <c r="CP31" s="5">
        <f>CP27</f>
        <v>1.9500000000000002</v>
      </c>
      <c r="CQ31" s="5" t="s">
        <v>23</v>
      </c>
      <c r="CR31" s="48" t="s">
        <v>598</v>
      </c>
      <c r="CU31" s="36"/>
      <c r="CV31" s="5">
        <f>CV26</f>
        <v>1.1000000000000001</v>
      </c>
      <c r="CW31" s="5" t="s">
        <v>23</v>
      </c>
    </row>
    <row r="32" spans="1:105" x14ac:dyDescent="0.25">
      <c r="A32" s="5" t="s">
        <v>662</v>
      </c>
      <c r="B32" s="5">
        <v>3.2</v>
      </c>
      <c r="C32" s="11" t="s">
        <v>8</v>
      </c>
      <c r="D32" s="5" t="s">
        <v>161</v>
      </c>
      <c r="E32" s="5">
        <v>1.7</v>
      </c>
      <c r="F32" s="5" t="s">
        <v>8</v>
      </c>
      <c r="H32" s="5" t="s">
        <v>663</v>
      </c>
      <c r="I32" s="5">
        <v>7.8</v>
      </c>
      <c r="J32" s="5" t="s">
        <v>98</v>
      </c>
      <c r="L32" s="5" t="s">
        <v>664</v>
      </c>
      <c r="M32" s="5">
        <f>2.3+0.8</f>
        <v>3.0999999999999996</v>
      </c>
      <c r="N32" s="11" t="s">
        <v>8</v>
      </c>
      <c r="O32" s="36"/>
      <c r="P32" s="2">
        <v>2.8</v>
      </c>
      <c r="Q32" s="5" t="s">
        <v>8</v>
      </c>
      <c r="S32" s="5">
        <f>S27*$C$10*10^-2</f>
        <v>1.1499999999999999</v>
      </c>
      <c r="T32" s="5" t="s">
        <v>23</v>
      </c>
      <c r="U32" s="48" t="s">
        <v>665</v>
      </c>
      <c r="Z32" s="5" t="s">
        <v>471</v>
      </c>
      <c r="AA32" s="5">
        <v>3.24</v>
      </c>
      <c r="AB32" s="5" t="s">
        <v>23</v>
      </c>
      <c r="AD32" s="5" t="s">
        <v>666</v>
      </c>
      <c r="AE32" s="5">
        <f>AE31*2</f>
        <v>26.127699999999994</v>
      </c>
      <c r="AF32" s="5" t="s">
        <v>33</v>
      </c>
      <c r="AH32" s="5" t="s">
        <v>667</v>
      </c>
      <c r="AI32" s="5">
        <f>3.491+I33</f>
        <v>7.391</v>
      </c>
      <c r="AJ32" s="5" t="s">
        <v>23</v>
      </c>
      <c r="AL32" s="5" t="s">
        <v>668</v>
      </c>
      <c r="AM32" s="5">
        <f>(0.1*50)*10^-2</f>
        <v>0.05</v>
      </c>
      <c r="AN32" s="5" t="s">
        <v>23</v>
      </c>
      <c r="AP32" s="5" t="s">
        <v>125</v>
      </c>
      <c r="AQ32" s="5">
        <f>AQ29*AQ31</f>
        <v>72.829166666666666</v>
      </c>
      <c r="AR32" s="5" t="s">
        <v>33</v>
      </c>
      <c r="AT32" s="9" t="s">
        <v>669</v>
      </c>
      <c r="AU32" s="5">
        <v>11.3</v>
      </c>
      <c r="AV32" s="5" t="s">
        <v>8</v>
      </c>
      <c r="AX32" s="43"/>
      <c r="AY32" s="40" t="s">
        <v>81</v>
      </c>
      <c r="BA32" s="44"/>
      <c r="BC32" s="6" t="s">
        <v>670</v>
      </c>
      <c r="BD32" s="4"/>
      <c r="BE32" s="2"/>
      <c r="BH32" s="5" t="s">
        <v>671</v>
      </c>
      <c r="BI32" s="5">
        <v>3.1</v>
      </c>
      <c r="BJ32" s="5" t="s">
        <v>8</v>
      </c>
      <c r="BL32" s="5" t="s">
        <v>672</v>
      </c>
      <c r="BM32" s="5">
        <f>M66</f>
        <v>2.0499999999999998</v>
      </c>
      <c r="BN32" s="5" t="s">
        <v>23</v>
      </c>
      <c r="BS32" s="69"/>
      <c r="BU32" s="69"/>
      <c r="CC32" s="5" t="s">
        <v>229</v>
      </c>
      <c r="CD32" s="5">
        <v>80</v>
      </c>
      <c r="CE32">
        <f t="shared" si="0"/>
        <v>1.5625</v>
      </c>
      <c r="CG32">
        <f t="shared" si="1"/>
        <v>1.0375000000000001</v>
      </c>
      <c r="CO32" s="5"/>
      <c r="CP32" s="5">
        <f>CP28</f>
        <v>1.9500000000000002</v>
      </c>
      <c r="CQ32" s="11" t="s">
        <v>23</v>
      </c>
      <c r="CR32" s="9" t="s">
        <v>591</v>
      </c>
      <c r="CS32" s="5">
        <f>3*$C$10*10^-2</f>
        <v>1.5</v>
      </c>
      <c r="CT32" s="11" t="s">
        <v>23</v>
      </c>
      <c r="CU32" s="36"/>
      <c r="CV32" s="5">
        <f>3.1*$C$10*10^-2</f>
        <v>1.55</v>
      </c>
      <c r="CW32" s="5" t="s">
        <v>23</v>
      </c>
    </row>
    <row r="33" spans="1:101" x14ac:dyDescent="0.25">
      <c r="A33" s="5" t="s">
        <v>673</v>
      </c>
      <c r="B33" s="5">
        <v>1.4</v>
      </c>
      <c r="C33" s="11" t="s">
        <v>8</v>
      </c>
      <c r="D33" s="5" t="s">
        <v>614</v>
      </c>
      <c r="E33" s="5">
        <f>E31*$C$10*10^-2</f>
        <v>2.35</v>
      </c>
      <c r="F33" s="5" t="s">
        <v>8</v>
      </c>
      <c r="H33" s="5" t="s">
        <v>674</v>
      </c>
      <c r="I33" s="5">
        <f>(I32*50)*10^-2</f>
        <v>3.9</v>
      </c>
      <c r="J33" s="5" t="s">
        <v>23</v>
      </c>
      <c r="L33" s="5" t="s">
        <v>675</v>
      </c>
      <c r="M33" s="5">
        <f>M31*$C$10*10^-2</f>
        <v>3.85</v>
      </c>
      <c r="N33" s="11" t="s">
        <v>23</v>
      </c>
      <c r="O33" s="36"/>
      <c r="P33" s="2">
        <v>0.7</v>
      </c>
      <c r="Q33" s="5" t="s">
        <v>8</v>
      </c>
      <c r="S33" s="5">
        <f>S28*$C$10*10^-2</f>
        <v>0.75</v>
      </c>
      <c r="T33" s="5" t="s">
        <v>23</v>
      </c>
      <c r="U33" s="2" t="s">
        <v>165</v>
      </c>
      <c r="V33" s="5">
        <v>15</v>
      </c>
      <c r="W33" s="5" t="s">
        <v>210</v>
      </c>
      <c r="Z33" s="5" t="s">
        <v>676</v>
      </c>
      <c r="AA33" s="5">
        <f>SQRT((AA32^2)+(AA31^2))</f>
        <v>3.756008519692148</v>
      </c>
      <c r="AB33" s="5" t="s">
        <v>23</v>
      </c>
      <c r="AD33" s="5"/>
      <c r="AE33" s="5"/>
      <c r="AF33" s="5"/>
      <c r="AH33" s="9" t="s">
        <v>677</v>
      </c>
      <c r="AI33" s="9">
        <f>AI32+AI31</f>
        <v>7.7910000000000004</v>
      </c>
      <c r="AJ33" s="9" t="s">
        <v>23</v>
      </c>
      <c r="AL33" s="5" t="s">
        <v>678</v>
      </c>
      <c r="AM33" s="5">
        <f>(0.05*50)*10^-2</f>
        <v>2.5000000000000001E-2</v>
      </c>
      <c r="AN33" s="5" t="s">
        <v>23</v>
      </c>
      <c r="AP33" s="5" t="s">
        <v>679</v>
      </c>
      <c r="AQ33" s="5">
        <f>AQ30*AQ31</f>
        <v>1.820729166666667</v>
      </c>
      <c r="AR33" s="5" t="s">
        <v>21</v>
      </c>
      <c r="AT33" s="36"/>
      <c r="AU33" s="5">
        <v>4.5</v>
      </c>
      <c r="AV33" s="5" t="s">
        <v>8</v>
      </c>
      <c r="AX33" s="43"/>
      <c r="AY33" s="5" t="s">
        <v>680</v>
      </c>
      <c r="AZ33" s="5">
        <f>AZ27-AZ29</f>
        <v>36.522500000000001</v>
      </c>
      <c r="BA33" s="5" t="s">
        <v>33</v>
      </c>
      <c r="BC33" s="5" t="s">
        <v>165</v>
      </c>
      <c r="BD33" s="5">
        <v>15</v>
      </c>
      <c r="BE33" s="5" t="s">
        <v>210</v>
      </c>
      <c r="BH33" s="5" t="s">
        <v>681</v>
      </c>
      <c r="BI33" s="5">
        <f>(BI27*BI32)/BI26</f>
        <v>3.1397435897435901</v>
      </c>
      <c r="BJ33" s="5" t="s">
        <v>23</v>
      </c>
      <c r="BL33" s="5" t="s">
        <v>682</v>
      </c>
      <c r="BM33" s="5">
        <f>BM27*BM32</f>
        <v>2.2839102564102567</v>
      </c>
      <c r="BN33" s="5" t="s">
        <v>33</v>
      </c>
      <c r="BQ33" s="59" t="s">
        <v>542</v>
      </c>
      <c r="BR33" s="59"/>
      <c r="BS33" s="73"/>
      <c r="BT33" s="59"/>
      <c r="BU33" s="73"/>
      <c r="BV33" s="59"/>
      <c r="CC33" s="5" t="s">
        <v>237</v>
      </c>
      <c r="CD33" s="5">
        <v>80</v>
      </c>
      <c r="CE33">
        <f t="shared" si="0"/>
        <v>1.5625</v>
      </c>
      <c r="CG33">
        <f t="shared" si="1"/>
        <v>1.0375000000000001</v>
      </c>
      <c r="CO33" s="5"/>
      <c r="CP33" s="5">
        <f>3.2*$C$10*10^-2</f>
        <v>1.6</v>
      </c>
      <c r="CQ33" s="11" t="s">
        <v>23</v>
      </c>
      <c r="CR33" s="36"/>
      <c r="CS33" s="5">
        <f>2.2*$C$10*10^-2</f>
        <v>1.1000000000000001</v>
      </c>
      <c r="CT33" s="11" t="s">
        <v>23</v>
      </c>
      <c r="CU33" s="36"/>
      <c r="CV33" s="5">
        <f>3.6*$C$10*10^-2</f>
        <v>1.8</v>
      </c>
      <c r="CW33" s="5" t="s">
        <v>23</v>
      </c>
    </row>
    <row r="34" spans="1:101" x14ac:dyDescent="0.25">
      <c r="A34" s="5" t="s">
        <v>614</v>
      </c>
      <c r="B34" s="5">
        <f>B32*$C$10*10^-2</f>
        <v>1.6</v>
      </c>
      <c r="C34" s="11" t="s">
        <v>23</v>
      </c>
      <c r="D34" s="5" t="s">
        <v>54</v>
      </c>
      <c r="E34" s="5">
        <f>E32*$C$10*10^-2</f>
        <v>0.85</v>
      </c>
      <c r="F34" s="5" t="s">
        <v>8</v>
      </c>
      <c r="H34" s="5" t="s">
        <v>683</v>
      </c>
      <c r="I34" s="5">
        <f>SQRT((I31^2)+(I33^2))</f>
        <v>5.6045182665417377</v>
      </c>
      <c r="J34" s="5" t="s">
        <v>111</v>
      </c>
      <c r="L34" s="5" t="s">
        <v>684</v>
      </c>
      <c r="M34" s="5">
        <f>M32*$C$10*10^-2</f>
        <v>1.5499999999999998</v>
      </c>
      <c r="N34" s="11" t="s">
        <v>23</v>
      </c>
      <c r="O34" s="7"/>
      <c r="P34" s="2">
        <v>2.7</v>
      </c>
      <c r="Q34" s="5" t="s">
        <v>8</v>
      </c>
      <c r="S34" s="5">
        <f>S29*$C$10*10^-2</f>
        <v>3</v>
      </c>
      <c r="T34" s="5" t="s">
        <v>23</v>
      </c>
      <c r="U34" t="s">
        <v>685</v>
      </c>
      <c r="V34">
        <v>2</v>
      </c>
      <c r="Z34" s="5" t="s">
        <v>686</v>
      </c>
      <c r="AA34" s="5">
        <f>AA33*AA39</f>
        <v>0.35682080937075406</v>
      </c>
      <c r="AB34" s="5" t="s">
        <v>21</v>
      </c>
      <c r="AD34" s="5" t="s">
        <v>14</v>
      </c>
      <c r="AE34" s="5">
        <f>B12</f>
        <v>7.9</v>
      </c>
      <c r="AF34" s="5" t="s">
        <v>23</v>
      </c>
      <c r="AH34" s="5" t="s">
        <v>687</v>
      </c>
      <c r="AI34" s="5">
        <f>AI33*AI30</f>
        <v>3.8955000000000002</v>
      </c>
      <c r="AJ34" s="5" t="s">
        <v>33</v>
      </c>
      <c r="AL34" s="7" t="s">
        <v>688</v>
      </c>
      <c r="AM34" s="7">
        <f>M26</f>
        <v>0.15</v>
      </c>
      <c r="AN34" s="7" t="s">
        <v>23</v>
      </c>
      <c r="AP34" s="27" t="s">
        <v>689</v>
      </c>
      <c r="AQ34" s="5"/>
      <c r="AR34" s="5"/>
      <c r="AT34" s="36"/>
      <c r="AU34" s="5">
        <v>4.4000000000000004</v>
      </c>
      <c r="AV34" s="5" t="s">
        <v>8</v>
      </c>
      <c r="AX34" s="43"/>
      <c r="AY34" s="5" t="s">
        <v>620</v>
      </c>
      <c r="AZ34" s="5">
        <f>ROUND(AZ33/$F$9,0)</f>
        <v>2398</v>
      </c>
      <c r="BA34" s="5"/>
      <c r="BC34" s="5" t="s">
        <v>138</v>
      </c>
      <c r="BD34" s="5">
        <f>(BD33*10^-3)*BD26</f>
        <v>1.8973500000000001</v>
      </c>
      <c r="BE34" s="5" t="s">
        <v>21</v>
      </c>
      <c r="BH34" s="5" t="s">
        <v>690</v>
      </c>
      <c r="BI34" s="5">
        <v>3.6</v>
      </c>
      <c r="BJ34" s="5" t="s">
        <v>8</v>
      </c>
      <c r="BL34" s="5" t="s">
        <v>691</v>
      </c>
      <c r="BM34" s="5">
        <f>BM33*BM30</f>
        <v>4.5678205128205134</v>
      </c>
      <c r="BN34" s="5" t="s">
        <v>33</v>
      </c>
      <c r="BQ34" s="58" t="s">
        <v>260</v>
      </c>
      <c r="BR34" t="s">
        <v>541</v>
      </c>
      <c r="BS34" s="69">
        <f>BD28</f>
        <v>20760</v>
      </c>
      <c r="BT34" t="s">
        <v>119</v>
      </c>
      <c r="BU34" s="69">
        <f>BS34/$BR$25</f>
        <v>103.10962479572791</v>
      </c>
      <c r="CC34" s="5" t="s">
        <v>247</v>
      </c>
      <c r="CD34" s="5">
        <v>60</v>
      </c>
      <c r="CE34">
        <f t="shared" si="0"/>
        <v>2.0833333333333335</v>
      </c>
      <c r="CG34">
        <f t="shared" si="1"/>
        <v>1.3833333333333333</v>
      </c>
      <c r="CO34" s="5"/>
      <c r="CP34" s="5">
        <f>3.9*$C$10*10^-2</f>
        <v>1.95</v>
      </c>
      <c r="CQ34" s="11" t="s">
        <v>23</v>
      </c>
      <c r="CR34" s="36"/>
      <c r="CS34" s="5">
        <f>0.2*$C$10*10^-2</f>
        <v>0.1</v>
      </c>
      <c r="CT34" s="11" t="s">
        <v>23</v>
      </c>
      <c r="CU34" s="36"/>
      <c r="CV34" s="5">
        <f>CV27</f>
        <v>1.1000000000000001</v>
      </c>
      <c r="CW34" s="5" t="s">
        <v>23</v>
      </c>
    </row>
    <row r="35" spans="1:101" x14ac:dyDescent="0.25">
      <c r="A35" s="5" t="s">
        <v>420</v>
      </c>
      <c r="B35" s="5">
        <f>B33*$C$10*10^-2</f>
        <v>0.70000000000000007</v>
      </c>
      <c r="C35" s="5" t="s">
        <v>23</v>
      </c>
      <c r="D35" s="5" t="s">
        <v>311</v>
      </c>
      <c r="E35" s="5">
        <f>E33*E34</f>
        <v>1.9975000000000001</v>
      </c>
      <c r="F35" s="5" t="s">
        <v>33</v>
      </c>
      <c r="H35" s="5" t="s">
        <v>692</v>
      </c>
      <c r="I35" s="5">
        <f>I34*B11</f>
        <v>63.611282325248723</v>
      </c>
      <c r="J35" s="5" t="s">
        <v>33</v>
      </c>
      <c r="L35" s="5" t="s">
        <v>693</v>
      </c>
      <c r="M35" s="5">
        <f>M33*M28</f>
        <v>11.357500000000002</v>
      </c>
      <c r="N35" s="5" t="s">
        <v>33</v>
      </c>
      <c r="O35" s="9" t="s">
        <v>694</v>
      </c>
      <c r="R35" s="5" t="s">
        <v>695</v>
      </c>
      <c r="S35" s="5">
        <f>SUM(S30:S34)*P27</f>
        <v>18.165000000000003</v>
      </c>
      <c r="T35" s="5" t="s">
        <v>696</v>
      </c>
      <c r="U35" s="2" t="s">
        <v>138</v>
      </c>
      <c r="V35" s="5">
        <f>(V33*10^-3)*V26*V34</f>
        <v>3.078450000000001</v>
      </c>
      <c r="W35" s="5" t="s">
        <v>21</v>
      </c>
      <c r="Z35" s="7" t="s">
        <v>697</v>
      </c>
      <c r="AA35" s="7">
        <f>0.22</f>
        <v>0.22</v>
      </c>
      <c r="AB35" s="7" t="s">
        <v>111</v>
      </c>
      <c r="AD35" s="5" t="s">
        <v>698</v>
      </c>
      <c r="AE35" s="5">
        <f>AE27</f>
        <v>0.22600000000000003</v>
      </c>
      <c r="AF35" s="5" t="s">
        <v>23</v>
      </c>
      <c r="AH35" s="9" t="s">
        <v>506</v>
      </c>
      <c r="AI35" s="9">
        <f>AI34*4</f>
        <v>15.582000000000001</v>
      </c>
      <c r="AJ35" s="9" t="s">
        <v>33</v>
      </c>
      <c r="AL35" s="5" t="s">
        <v>132</v>
      </c>
      <c r="AM35" s="5">
        <v>15.4</v>
      </c>
      <c r="AN35" s="5" t="s">
        <v>8</v>
      </c>
      <c r="AP35" s="5" t="s">
        <v>89</v>
      </c>
      <c r="AQ35" s="5">
        <f>5*10^-2</f>
        <v>0.05</v>
      </c>
      <c r="AR35" s="5" t="s">
        <v>23</v>
      </c>
      <c r="AT35" s="36"/>
      <c r="AU35" s="5">
        <v>11.3</v>
      </c>
      <c r="AV35" s="5" t="s">
        <v>8</v>
      </c>
      <c r="AX35" s="43"/>
      <c r="AY35" s="14" t="s">
        <v>513</v>
      </c>
      <c r="AZ35" s="5">
        <f>AZ34*$F$11</f>
        <v>5995</v>
      </c>
      <c r="BA35" s="5" t="s">
        <v>119</v>
      </c>
      <c r="BC35" s="14" t="s">
        <v>150</v>
      </c>
      <c r="BD35" s="5">
        <f>BD34*$F$12</f>
        <v>3225.4950000000003</v>
      </c>
      <c r="BE35" s="5" t="s">
        <v>119</v>
      </c>
      <c r="BH35" s="5" t="s">
        <v>699</v>
      </c>
      <c r="BI35" s="5">
        <f>(BI27*BI34)/BI26</f>
        <v>3.6461538461538465</v>
      </c>
      <c r="BJ35" s="5" t="s">
        <v>23</v>
      </c>
      <c r="BL35" s="5" t="s">
        <v>700</v>
      </c>
      <c r="BM35" s="5">
        <f>BM32*BM29</f>
        <v>1.661025641025641</v>
      </c>
      <c r="BN35" s="5" t="s">
        <v>33</v>
      </c>
      <c r="BQ35" s="58" t="s">
        <v>537</v>
      </c>
      <c r="BR35" t="s">
        <v>538</v>
      </c>
      <c r="BS35" s="69">
        <f>BD31</f>
        <v>4451.8740479999988</v>
      </c>
      <c r="BT35" t="s">
        <v>119</v>
      </c>
      <c r="BU35" s="69">
        <f>BS35/$BR$25</f>
        <v>22.111322867394904</v>
      </c>
      <c r="CC35" s="5" t="s">
        <v>253</v>
      </c>
      <c r="CD35" s="5">
        <v>60</v>
      </c>
      <c r="CE35">
        <f t="shared" si="0"/>
        <v>2.0833333333333335</v>
      </c>
      <c r="CF35">
        <v>2</v>
      </c>
      <c r="CG35">
        <f t="shared" si="1"/>
        <v>1.3833333333333333</v>
      </c>
      <c r="CH35">
        <v>1</v>
      </c>
      <c r="CO35" s="5"/>
      <c r="CP35" s="5">
        <f>CP31</f>
        <v>1.9500000000000002</v>
      </c>
      <c r="CQ35" s="11" t="s">
        <v>23</v>
      </c>
      <c r="CR35" s="36"/>
      <c r="CS35" s="5">
        <f>CS15</f>
        <v>1.35</v>
      </c>
      <c r="CT35" s="11" t="s">
        <v>23</v>
      </c>
      <c r="CU35" s="36"/>
      <c r="CV35" s="5">
        <f>CV27</f>
        <v>1.1000000000000001</v>
      </c>
      <c r="CW35" s="5" t="s">
        <v>23</v>
      </c>
    </row>
    <row r="36" spans="1:101" x14ac:dyDescent="0.25">
      <c r="A36" s="5" t="s">
        <v>136</v>
      </c>
      <c r="B36" s="5">
        <f>B34*B35</f>
        <v>1.1200000000000001</v>
      </c>
      <c r="C36" s="5" t="s">
        <v>33</v>
      </c>
      <c r="D36" s="48" t="s">
        <v>81</v>
      </c>
      <c r="F36" s="44"/>
      <c r="H36" s="9" t="s">
        <v>701</v>
      </c>
      <c r="I36" s="9">
        <f>I35*2</f>
        <v>127.22256465049745</v>
      </c>
      <c r="J36" s="9" t="s">
        <v>33</v>
      </c>
      <c r="L36" s="5" t="s">
        <v>702</v>
      </c>
      <c r="M36" s="5">
        <f>M34*M28</f>
        <v>4.5724999999999998</v>
      </c>
      <c r="N36" s="5" t="s">
        <v>33</v>
      </c>
      <c r="O36" s="36"/>
      <c r="P36" s="2">
        <f>P29*$C$10*10^-2</f>
        <v>3.5500000000000003</v>
      </c>
      <c r="Q36" s="5" t="s">
        <v>23</v>
      </c>
      <c r="R36" t="s">
        <v>627</v>
      </c>
      <c r="S36" s="5">
        <v>0.6</v>
      </c>
      <c r="T36" s="5" t="s">
        <v>8</v>
      </c>
      <c r="U36" s="2" t="s">
        <v>281</v>
      </c>
      <c r="V36" s="5">
        <f>V35*$F$12</f>
        <v>5233.3650000000016</v>
      </c>
      <c r="W36" s="5" t="s">
        <v>119</v>
      </c>
      <c r="Z36" s="9" t="s">
        <v>703</v>
      </c>
      <c r="AA36" s="81">
        <f>AA33/AA35</f>
        <v>17.072765998600673</v>
      </c>
      <c r="AB36" s="9" t="s">
        <v>704</v>
      </c>
      <c r="AD36" s="5" t="s">
        <v>705</v>
      </c>
      <c r="AE36" s="9">
        <f>AE30</f>
        <v>1.1509999999999998</v>
      </c>
      <c r="AF36" s="9" t="s">
        <v>23</v>
      </c>
      <c r="AH36" s="5" t="s">
        <v>706</v>
      </c>
      <c r="AI36">
        <f>ROUND(AI30/((F3+F7)*10^-2),0)</f>
        <v>2</v>
      </c>
      <c r="AJ36" s="36" t="s">
        <v>250</v>
      </c>
      <c r="AL36" s="36" t="s">
        <v>707</v>
      </c>
      <c r="AM36">
        <f>(AM35*50)*10^-2</f>
        <v>7.7</v>
      </c>
      <c r="AN36" s="36" t="s">
        <v>23</v>
      </c>
      <c r="AP36" s="5" t="s">
        <v>205</v>
      </c>
      <c r="AQ36" s="5">
        <f>AQ32*AQ35</f>
        <v>3.6414583333333335</v>
      </c>
      <c r="AR36" s="5" t="s">
        <v>21</v>
      </c>
      <c r="AT36" s="36"/>
      <c r="AU36" s="5">
        <v>3.9</v>
      </c>
      <c r="AV36" s="5" t="s">
        <v>8</v>
      </c>
      <c r="AX36" s="43"/>
      <c r="AY36" s="5" t="s">
        <v>128</v>
      </c>
      <c r="AZ36" s="5">
        <f>AZ34*($F$9-$F$8)</f>
        <v>7.0021599999999973</v>
      </c>
      <c r="BA36" s="5" t="s">
        <v>33</v>
      </c>
      <c r="BH36" s="5" t="s">
        <v>708</v>
      </c>
      <c r="BI36" s="5">
        <v>2.2999999999999998</v>
      </c>
      <c r="BJ36" s="5" t="s">
        <v>8</v>
      </c>
      <c r="BL36" s="5" t="s">
        <v>709</v>
      </c>
      <c r="BM36" s="5">
        <f>BM35*BM31</f>
        <v>14.94923076923077</v>
      </c>
      <c r="BN36" s="5" t="s">
        <v>21</v>
      </c>
      <c r="BQ36" s="58" t="s">
        <v>540</v>
      </c>
      <c r="BR36" t="s">
        <v>538</v>
      </c>
      <c r="BS36" s="69">
        <f>BD35</f>
        <v>3225.4950000000003</v>
      </c>
      <c r="BT36" t="s">
        <v>119</v>
      </c>
      <c r="BU36" s="69">
        <f>BS36/$BR$25</f>
        <v>16.020210945592314</v>
      </c>
      <c r="CC36" s="5" t="s">
        <v>264</v>
      </c>
      <c r="CD36" s="5">
        <v>60</v>
      </c>
      <c r="CE36">
        <f t="shared" si="0"/>
        <v>2.0833333333333335</v>
      </c>
      <c r="CG36">
        <f t="shared" si="1"/>
        <v>1.3833333333333333</v>
      </c>
      <c r="CO36" s="5"/>
      <c r="CP36" s="5">
        <f>CP31</f>
        <v>1.9500000000000002</v>
      </c>
      <c r="CQ36" s="11" t="s">
        <v>23</v>
      </c>
      <c r="CR36" s="36"/>
      <c r="CS36" s="5">
        <f>CS15</f>
        <v>1.35</v>
      </c>
      <c r="CT36" s="11" t="s">
        <v>23</v>
      </c>
      <c r="CU36" s="36"/>
      <c r="CV36" s="5">
        <f>1.8*$C$10*10^-2</f>
        <v>0.9</v>
      </c>
      <c r="CW36" s="5" t="s">
        <v>23</v>
      </c>
    </row>
    <row r="37" spans="1:101" x14ac:dyDescent="0.25">
      <c r="A37" s="5" t="s">
        <v>609</v>
      </c>
      <c r="B37" s="5">
        <v>5</v>
      </c>
      <c r="C37" s="5"/>
      <c r="D37" s="5" t="s">
        <v>481</v>
      </c>
      <c r="E37" s="5">
        <f>B30-E27-E35-B65</f>
        <v>32.510000000000005</v>
      </c>
      <c r="F37" s="5" t="s">
        <v>33</v>
      </c>
      <c r="H37" s="5" t="s">
        <v>710</v>
      </c>
      <c r="I37" s="5">
        <f>I36*I26</f>
        <v>1882.8939568273622</v>
      </c>
      <c r="J37" s="5" t="s">
        <v>711</v>
      </c>
      <c r="L37" s="5" t="s">
        <v>712</v>
      </c>
      <c r="M37" s="5">
        <v>6</v>
      </c>
      <c r="N37" s="5" t="s">
        <v>8</v>
      </c>
      <c r="O37" s="36"/>
      <c r="P37" s="2">
        <f t="shared" ref="P37:P40" si="2">P30*$C$10*10^-2</f>
        <v>0.55000000000000004</v>
      </c>
      <c r="Q37" s="5" t="s">
        <v>23</v>
      </c>
      <c r="S37" s="5">
        <v>0.7</v>
      </c>
      <c r="T37" s="5" t="s">
        <v>8</v>
      </c>
      <c r="Z37" s="5" t="s">
        <v>713</v>
      </c>
      <c r="AA37" s="5">
        <v>0.06</v>
      </c>
      <c r="AB37" s="5" t="s">
        <v>111</v>
      </c>
      <c r="AD37" s="11" t="s">
        <v>655</v>
      </c>
      <c r="AE37" s="5">
        <f>AE36*AE34</f>
        <v>9.0928999999999984</v>
      </c>
      <c r="AF37" s="5" t="s">
        <v>33</v>
      </c>
      <c r="AH37" s="5" t="s">
        <v>714</v>
      </c>
      <c r="AI37">
        <f>ROUND(AI33/((F5+F7)*10^-2),0)</f>
        <v>122</v>
      </c>
      <c r="AJ37" s="36" t="s">
        <v>250</v>
      </c>
      <c r="AL37" s="5" t="s">
        <v>144</v>
      </c>
      <c r="AM37" s="5">
        <f>AM36*AM30*AM29</f>
        <v>0.19635000000000002</v>
      </c>
      <c r="AN37" s="5" t="s">
        <v>21</v>
      </c>
      <c r="AP37" s="5" t="s">
        <v>715</v>
      </c>
      <c r="AQ37" s="5">
        <v>1760</v>
      </c>
      <c r="AR37" s="5" t="s">
        <v>35</v>
      </c>
      <c r="AT37" s="36"/>
      <c r="AU37" s="5">
        <v>3.7</v>
      </c>
      <c r="AV37" s="5" t="s">
        <v>8</v>
      </c>
      <c r="AX37" s="43"/>
      <c r="AY37" s="5" t="s">
        <v>138</v>
      </c>
      <c r="AZ37" s="5">
        <f>AZ36*(($F$4)*10^-2)</f>
        <v>0.75623327999999979</v>
      </c>
      <c r="BA37" s="5" t="s">
        <v>21</v>
      </c>
      <c r="BC37" s="21" t="s">
        <v>716</v>
      </c>
      <c r="BD37" s="4"/>
      <c r="BE37" s="2"/>
      <c r="BH37" s="5" t="s">
        <v>717</v>
      </c>
      <c r="BI37" s="5">
        <f>(BI27*BI36)/BI26</f>
        <v>2.3294871794871792</v>
      </c>
      <c r="BJ37" s="5" t="s">
        <v>23</v>
      </c>
      <c r="BL37" s="5" t="s">
        <v>718</v>
      </c>
      <c r="BM37" s="5">
        <f>BM36+BM34</f>
        <v>19.517051282051284</v>
      </c>
      <c r="BN37" s="5" t="s">
        <v>33</v>
      </c>
      <c r="BS37" s="69"/>
      <c r="BU37" s="69"/>
      <c r="CC37" s="5" t="s">
        <v>275</v>
      </c>
      <c r="CD37" s="5">
        <v>50</v>
      </c>
      <c r="CE37">
        <f t="shared" si="0"/>
        <v>2.5</v>
      </c>
      <c r="CF37">
        <v>2</v>
      </c>
      <c r="CG37">
        <f t="shared" si="1"/>
        <v>1.66</v>
      </c>
      <c r="CH37">
        <v>1</v>
      </c>
      <c r="CO37" s="5"/>
      <c r="CP37" s="5">
        <f>4*$C$10*10^-2</f>
        <v>2</v>
      </c>
      <c r="CQ37" s="11" t="s">
        <v>23</v>
      </c>
      <c r="CR37" s="36"/>
      <c r="CS37" s="5">
        <f>2*$C$10*10^-2</f>
        <v>1</v>
      </c>
      <c r="CT37" s="11" t="s">
        <v>23</v>
      </c>
      <c r="CU37" s="7"/>
      <c r="CV37" s="5">
        <f>SUM(CV25:CV36)</f>
        <v>17.349999999999998</v>
      </c>
      <c r="CW37" s="5" t="s">
        <v>23</v>
      </c>
    </row>
    <row r="38" spans="1:101" x14ac:dyDescent="0.25">
      <c r="A38" s="5" t="s">
        <v>719</v>
      </c>
      <c r="B38" s="5">
        <f>B36*B37</f>
        <v>5.6000000000000005</v>
      </c>
      <c r="C38" s="5" t="s">
        <v>33</v>
      </c>
      <c r="D38" s="5" t="s">
        <v>620</v>
      </c>
      <c r="E38" s="5">
        <f>ROUND(E37/$F$9,0)</f>
        <v>2134</v>
      </c>
      <c r="F38" s="5"/>
      <c r="H38" s="14" t="s">
        <v>720</v>
      </c>
      <c r="I38" s="14">
        <f>I37*I27</f>
        <v>5460.3924747993506</v>
      </c>
      <c r="J38" s="14" t="s">
        <v>119</v>
      </c>
      <c r="L38" s="5" t="s">
        <v>721</v>
      </c>
      <c r="M38" s="5">
        <v>6.6</v>
      </c>
      <c r="N38" s="5" t="s">
        <v>8</v>
      </c>
      <c r="O38" s="36"/>
      <c r="P38" s="2">
        <f t="shared" si="2"/>
        <v>0.35000000000000003</v>
      </c>
      <c r="Q38" s="5" t="s">
        <v>23</v>
      </c>
      <c r="S38" s="5">
        <v>2.8</v>
      </c>
      <c r="T38" s="5" t="s">
        <v>8</v>
      </c>
      <c r="Z38" s="9" t="s">
        <v>722</v>
      </c>
      <c r="AA38" s="9">
        <f>AA29-(2*0.06)</f>
        <v>0.73</v>
      </c>
      <c r="AB38" s="9" t="s">
        <v>111</v>
      </c>
      <c r="AD38" s="11" t="s">
        <v>666</v>
      </c>
      <c r="AE38" s="5">
        <f>AE37*2</f>
        <v>18.185799999999997</v>
      </c>
      <c r="AF38" s="5" t="s">
        <v>33</v>
      </c>
      <c r="AH38" s="5" t="s">
        <v>723</v>
      </c>
      <c r="AI38">
        <f>AI37*AI36</f>
        <v>244</v>
      </c>
      <c r="AJ38" s="36" t="s">
        <v>250</v>
      </c>
      <c r="AL38" s="20" t="s">
        <v>724</v>
      </c>
      <c r="AM38" s="20">
        <f>AM37*AM28</f>
        <v>2.1598500000000005</v>
      </c>
      <c r="AN38" s="20" t="s">
        <v>21</v>
      </c>
      <c r="AP38" s="9" t="s">
        <v>725</v>
      </c>
      <c r="AQ38" s="9">
        <f>AQ37*AQ36</f>
        <v>6408.9666666666672</v>
      </c>
      <c r="AR38" s="9" t="s">
        <v>119</v>
      </c>
      <c r="AT38" s="36"/>
      <c r="AU38" s="5">
        <v>1.4</v>
      </c>
      <c r="AV38" s="5" t="s">
        <v>8</v>
      </c>
      <c r="AX38" s="43"/>
      <c r="AY38" s="14" t="s">
        <v>150</v>
      </c>
      <c r="AZ38" s="5">
        <f>AZ37*$F$12</f>
        <v>1285.5965759999997</v>
      </c>
      <c r="BA38" s="5" t="s">
        <v>119</v>
      </c>
      <c r="BC38" s="14" t="s">
        <v>726</v>
      </c>
      <c r="BD38" s="5">
        <f>AQ41</f>
        <v>4.9153062500000004</v>
      </c>
      <c r="BE38" s="5" t="s">
        <v>21</v>
      </c>
      <c r="BH38" s="5" t="s">
        <v>727</v>
      </c>
      <c r="BI38" s="5">
        <v>2.6</v>
      </c>
      <c r="BJ38" s="5" t="s">
        <v>8</v>
      </c>
      <c r="BL38" s="36" t="s">
        <v>728</v>
      </c>
      <c r="BM38">
        <v>0.04</v>
      </c>
      <c r="BN38" s="36" t="s">
        <v>23</v>
      </c>
      <c r="BQ38" s="59" t="s">
        <v>543</v>
      </c>
      <c r="BR38" s="59"/>
      <c r="BS38" s="73"/>
      <c r="BT38" s="59"/>
      <c r="BU38" s="73"/>
      <c r="BV38" s="59"/>
      <c r="CC38" s="5" t="s">
        <v>282</v>
      </c>
      <c r="CD38" s="5">
        <v>30</v>
      </c>
      <c r="CE38">
        <f t="shared" si="0"/>
        <v>4.166666666666667</v>
      </c>
      <c r="CG38">
        <f t="shared" si="1"/>
        <v>2.7666666666666666</v>
      </c>
      <c r="CO38" s="5"/>
      <c r="CP38" s="5">
        <f>3.7*$C$10*10^-2</f>
        <v>1.85</v>
      </c>
      <c r="CQ38" s="11" t="s">
        <v>23</v>
      </c>
      <c r="CR38" s="36"/>
      <c r="CS38" s="5">
        <f>0.6*$C$10*10^-2</f>
        <v>0.3</v>
      </c>
      <c r="CT38" s="5" t="s">
        <v>23</v>
      </c>
      <c r="CU38" s="20" t="s">
        <v>729</v>
      </c>
      <c r="CV38" s="14">
        <f>CP22+CP42+CS30+CS53+CV23+CV37</f>
        <v>142.9</v>
      </c>
      <c r="CW38" s="14" t="s">
        <v>23</v>
      </c>
    </row>
    <row r="39" spans="1:101" x14ac:dyDescent="0.25">
      <c r="A39" s="40" t="s">
        <v>511</v>
      </c>
      <c r="D39" s="14" t="s">
        <v>513</v>
      </c>
      <c r="E39" s="5">
        <f>E38*$F$11</f>
        <v>5335</v>
      </c>
      <c r="F39" s="5" t="s">
        <v>119</v>
      </c>
      <c r="L39" s="5" t="s">
        <v>730</v>
      </c>
      <c r="M39" s="5">
        <f>M37*$C$10*10^-2</f>
        <v>3</v>
      </c>
      <c r="N39" s="5" t="s">
        <v>23</v>
      </c>
      <c r="O39" s="36"/>
      <c r="P39" s="2">
        <f t="shared" si="2"/>
        <v>1.4000000000000001</v>
      </c>
      <c r="Q39" s="5" t="s">
        <v>23</v>
      </c>
      <c r="S39" s="5">
        <v>3.4</v>
      </c>
      <c r="T39" s="5" t="s">
        <v>8</v>
      </c>
      <c r="V39" s="21" t="s">
        <v>372</v>
      </c>
      <c r="W39" s="4"/>
      <c r="X39" s="2"/>
      <c r="Z39" s="9" t="s">
        <v>258</v>
      </c>
      <c r="AA39" s="9">
        <v>9.5000000000000001E-2</v>
      </c>
      <c r="AB39" s="9" t="s">
        <v>23</v>
      </c>
      <c r="AD39" s="14" t="s">
        <v>731</v>
      </c>
      <c r="AE39" s="14">
        <f>AE38+AE32</f>
        <v>44.313499999999991</v>
      </c>
      <c r="AF39" s="14" t="s">
        <v>33</v>
      </c>
      <c r="AH39" s="36" t="s">
        <v>732</v>
      </c>
      <c r="AI39">
        <v>4</v>
      </c>
      <c r="AJ39" s="36"/>
      <c r="AL39" s="27" t="s">
        <v>733</v>
      </c>
      <c r="AM39" s="5">
        <v>4.0999999999999996</v>
      </c>
      <c r="AN39" s="5" t="s">
        <v>8</v>
      </c>
      <c r="AP39" s="11" t="s">
        <v>734</v>
      </c>
      <c r="AQ39" s="4"/>
      <c r="AR39" s="2"/>
      <c r="AT39" s="36"/>
      <c r="AU39" s="5">
        <v>1.6</v>
      </c>
      <c r="AV39" s="5" t="s">
        <v>8</v>
      </c>
      <c r="AX39" s="43"/>
      <c r="AY39" s="40" t="s">
        <v>735</v>
      </c>
      <c r="BA39" s="44"/>
      <c r="BC39" s="14" t="s">
        <v>736</v>
      </c>
      <c r="BD39" s="5">
        <f>AQ42</f>
        <v>1.820729166666667</v>
      </c>
      <c r="BE39" s="5" t="s">
        <v>21</v>
      </c>
      <c r="BH39" s="5" t="s">
        <v>737</v>
      </c>
      <c r="BI39" s="5">
        <f>(BI27*BI38)/BI26</f>
        <v>2.6333333333333337</v>
      </c>
      <c r="BJ39" s="5" t="s">
        <v>23</v>
      </c>
      <c r="BL39" s="14" t="s">
        <v>738</v>
      </c>
      <c r="BM39" s="14">
        <f>BM38*BM37</f>
        <v>0.78068205128205137</v>
      </c>
      <c r="BN39" s="14" t="s">
        <v>21</v>
      </c>
      <c r="BQ39" s="58" t="str">
        <f>A124</f>
        <v xml:space="preserve">Doors, outside </v>
      </c>
      <c r="BS39" s="69"/>
      <c r="BU39" s="69"/>
      <c r="CC39" s="5" t="s">
        <v>293</v>
      </c>
      <c r="CD39" s="5">
        <v>50</v>
      </c>
      <c r="CE39">
        <f t="shared" si="0"/>
        <v>2.5</v>
      </c>
      <c r="CG39">
        <f t="shared" si="1"/>
        <v>1.66</v>
      </c>
      <c r="CO39" s="5"/>
      <c r="CP39" s="5">
        <f>CP36</f>
        <v>1.9500000000000002</v>
      </c>
      <c r="CQ39" s="11" t="s">
        <v>23</v>
      </c>
      <c r="CR39" s="36"/>
      <c r="CS39" s="5">
        <f>CS15</f>
        <v>1.35</v>
      </c>
      <c r="CT39" s="5" t="s">
        <v>23</v>
      </c>
      <c r="CU39" s="7"/>
      <c r="CV39" s="5">
        <f>CV38/N107</f>
        <v>0.70974785083379177</v>
      </c>
      <c r="CW39" s="5" t="s">
        <v>739</v>
      </c>
    </row>
    <row r="40" spans="1:101" x14ac:dyDescent="0.25">
      <c r="A40" s="5" t="s">
        <v>651</v>
      </c>
      <c r="B40" s="5">
        <v>0.8</v>
      </c>
      <c r="C40" s="5" t="s">
        <v>8</v>
      </c>
      <c r="D40" s="5" t="s">
        <v>128</v>
      </c>
      <c r="E40" s="5">
        <f>E38*($F$9-$F$8)</f>
        <v>6.2312799999999982</v>
      </c>
      <c r="F40" s="5" t="s">
        <v>33</v>
      </c>
      <c r="H40" s="57" t="s">
        <v>740</v>
      </c>
      <c r="I40" s="9"/>
      <c r="J40" s="9"/>
      <c r="L40" s="5" t="s">
        <v>741</v>
      </c>
      <c r="M40" s="5">
        <f>M38*$C$10*10^-2</f>
        <v>3.3000000000000003</v>
      </c>
      <c r="N40" s="5" t="s">
        <v>23</v>
      </c>
      <c r="O40" s="36"/>
      <c r="P40" s="2">
        <f t="shared" si="2"/>
        <v>0.35000000000000003</v>
      </c>
      <c r="Q40" s="5" t="s">
        <v>23</v>
      </c>
      <c r="S40" s="5">
        <v>6.6</v>
      </c>
      <c r="T40" s="5" t="s">
        <v>8</v>
      </c>
      <c r="V40" s="6" t="s">
        <v>81</v>
      </c>
      <c r="W40" s="4"/>
      <c r="X40" s="2"/>
      <c r="Z40" s="5" t="s">
        <v>742</v>
      </c>
      <c r="AA40" s="5">
        <v>0.24</v>
      </c>
      <c r="AB40" s="5" t="s">
        <v>23</v>
      </c>
      <c r="AH40" s="5" t="s">
        <v>743</v>
      </c>
      <c r="AI40" s="5">
        <f>AI39*AI38</f>
        <v>976</v>
      </c>
      <c r="AJ40" s="5" t="s">
        <v>250</v>
      </c>
      <c r="AL40" s="5" t="s">
        <v>744</v>
      </c>
      <c r="AM40" s="5">
        <f>(AM39*50)*10^-2</f>
        <v>2.0499999999999998</v>
      </c>
      <c r="AN40" s="5" t="s">
        <v>23</v>
      </c>
      <c r="AP40" s="7" t="s">
        <v>745</v>
      </c>
      <c r="AQ40" s="7">
        <v>1</v>
      </c>
      <c r="AR40" s="7"/>
      <c r="AT40" s="7"/>
      <c r="AU40" s="5">
        <v>1.6</v>
      </c>
      <c r="AV40" s="5" t="s">
        <v>8</v>
      </c>
      <c r="AX40" s="43"/>
      <c r="AY40" s="5" t="s">
        <v>746</v>
      </c>
      <c r="AZ40" s="5">
        <v>6</v>
      </c>
      <c r="BA40" s="5"/>
      <c r="BC40" s="14" t="s">
        <v>747</v>
      </c>
      <c r="BD40" s="5">
        <f>AQ43</f>
        <v>6408.9666666666672</v>
      </c>
      <c r="BE40" s="5" t="s">
        <v>119</v>
      </c>
      <c r="BH40" s="5" t="s">
        <v>748</v>
      </c>
      <c r="BI40" s="5">
        <v>1.5</v>
      </c>
      <c r="BJ40" s="5" t="s">
        <v>8</v>
      </c>
      <c r="BQ40" s="58" t="s">
        <v>546</v>
      </c>
      <c r="BR40" t="s">
        <v>545</v>
      </c>
      <c r="BS40" s="69">
        <f>BM37</f>
        <v>19.517051282051284</v>
      </c>
      <c r="BT40" t="s">
        <v>33</v>
      </c>
      <c r="BU40" s="69">
        <f>BS40/$BR$25</f>
        <v>9.6936215549676699E-2</v>
      </c>
      <c r="CC40" s="5" t="s">
        <v>300</v>
      </c>
      <c r="CD40" s="5">
        <v>100</v>
      </c>
      <c r="CE40">
        <f t="shared" si="0"/>
        <v>1.25</v>
      </c>
      <c r="CG40">
        <f t="shared" si="1"/>
        <v>0.83</v>
      </c>
      <c r="CO40" s="5"/>
      <c r="CP40" s="5">
        <f>CP36</f>
        <v>1.9500000000000002</v>
      </c>
      <c r="CQ40" s="11" t="s">
        <v>23</v>
      </c>
      <c r="CR40" s="36"/>
      <c r="CS40" s="5">
        <f>3.5*$C$10*10^-2</f>
        <v>1.75</v>
      </c>
      <c r="CT40" s="5" t="s">
        <v>23</v>
      </c>
      <c r="CU40" s="5" t="s">
        <v>749</v>
      </c>
      <c r="CV40" s="5">
        <f>12+7+8</f>
        <v>27</v>
      </c>
      <c r="CW40" s="5"/>
    </row>
    <row r="41" spans="1:101" x14ac:dyDescent="0.25">
      <c r="A41" s="5" t="s">
        <v>651</v>
      </c>
      <c r="B41" s="5">
        <v>1.8</v>
      </c>
      <c r="C41" s="5" t="s">
        <v>8</v>
      </c>
      <c r="D41" s="5" t="s">
        <v>138</v>
      </c>
      <c r="E41" s="5">
        <f>E40*(($F$4)*10^-2)</f>
        <v>0.67297823999999984</v>
      </c>
      <c r="F41" s="5" t="s">
        <v>21</v>
      </c>
      <c r="H41" s="27" t="s">
        <v>750</v>
      </c>
      <c r="I41" s="5"/>
      <c r="J41" s="5"/>
      <c r="L41" s="5" t="s">
        <v>751</v>
      </c>
      <c r="M41" s="5">
        <f>M39*M28</f>
        <v>8.8500000000000014</v>
      </c>
      <c r="N41" s="5" t="s">
        <v>33</v>
      </c>
      <c r="O41" s="7"/>
      <c r="P41" s="2">
        <f>P34*$C$10*10^-2</f>
        <v>1.35</v>
      </c>
      <c r="Q41" s="5" t="s">
        <v>23</v>
      </c>
      <c r="R41" s="9" t="s">
        <v>752</v>
      </c>
      <c r="S41" s="5">
        <f>S36*$C$10*10^-2</f>
        <v>0.3</v>
      </c>
      <c r="T41" s="5" t="s">
        <v>23</v>
      </c>
      <c r="V41" s="5" t="s">
        <v>481</v>
      </c>
      <c r="W41" s="5">
        <f>B67+E37+E51</f>
        <v>146.79750000000001</v>
      </c>
      <c r="X41" s="5" t="s">
        <v>33</v>
      </c>
      <c r="Z41" s="5" t="s">
        <v>753</v>
      </c>
      <c r="AA41" s="5">
        <f>AA39*AA38*AA40</f>
        <v>1.6643999999999999E-2</v>
      </c>
      <c r="AB41" s="5" t="s">
        <v>33</v>
      </c>
      <c r="AD41" s="5" t="s">
        <v>754</v>
      </c>
      <c r="AE41" s="5">
        <f>F9</f>
        <v>1.5232000000000001E-2</v>
      </c>
      <c r="AF41" s="5" t="s">
        <v>21</v>
      </c>
      <c r="AH41" s="36" t="s">
        <v>755</v>
      </c>
      <c r="AI41">
        <v>2</v>
      </c>
      <c r="AL41" s="5" t="s">
        <v>756</v>
      </c>
      <c r="AM41" s="5">
        <v>0.2</v>
      </c>
      <c r="AN41" s="5" t="s">
        <v>8</v>
      </c>
      <c r="AP41" s="14" t="s">
        <v>726</v>
      </c>
      <c r="AQ41" s="5">
        <f>AM99</f>
        <v>4.9153062500000004</v>
      </c>
      <c r="AR41" s="5" t="s">
        <v>21</v>
      </c>
      <c r="AT41" s="9" t="s">
        <v>757</v>
      </c>
      <c r="AU41" s="5">
        <f>AU32*$C$10*10^-2</f>
        <v>5.65</v>
      </c>
      <c r="AV41" s="5" t="s">
        <v>23</v>
      </c>
      <c r="AX41" s="43"/>
      <c r="AY41" s="5" t="s">
        <v>637</v>
      </c>
      <c r="AZ41" s="5">
        <f>B36*AZ40</f>
        <v>6.7200000000000006</v>
      </c>
      <c r="BA41" s="5" t="s">
        <v>33</v>
      </c>
      <c r="BC41" s="14" t="s">
        <v>758</v>
      </c>
      <c r="BD41" s="5">
        <f>AQ51</f>
        <v>245.018125</v>
      </c>
      <c r="BE41" s="5" t="s">
        <v>119</v>
      </c>
      <c r="BH41" s="5" t="s">
        <v>759</v>
      </c>
      <c r="BI41" s="5">
        <f>(BI27*BI40)/BI26</f>
        <v>1.5192307692307694</v>
      </c>
      <c r="BJ41" s="5" t="s">
        <v>23</v>
      </c>
      <c r="BL41" s="11" t="s">
        <v>760</v>
      </c>
      <c r="BM41" s="4"/>
      <c r="BN41" s="2"/>
      <c r="BQ41" s="58" t="s">
        <v>547</v>
      </c>
      <c r="BR41" t="s">
        <v>545</v>
      </c>
      <c r="BS41" s="69">
        <f>AZ64</f>
        <v>2.7299999999999995</v>
      </c>
      <c r="BT41" t="s">
        <v>21</v>
      </c>
      <c r="BU41" s="69">
        <f>BS41/$BR$25</f>
        <v>1.3559213665334158E-2</v>
      </c>
      <c r="CC41" s="5" t="s">
        <v>310</v>
      </c>
      <c r="CD41" s="5">
        <v>120</v>
      </c>
      <c r="CE41">
        <f t="shared" si="0"/>
        <v>1.0416666666666667</v>
      </c>
      <c r="CG41">
        <f t="shared" si="1"/>
        <v>0.69166666666666665</v>
      </c>
      <c r="CO41" s="5"/>
      <c r="CP41" s="5">
        <f>2.1*$C$10*10^-2</f>
        <v>1.05</v>
      </c>
      <c r="CQ41" s="11" t="s">
        <v>23</v>
      </c>
      <c r="CR41" s="36"/>
      <c r="CS41" s="5">
        <f>2.7*$C$10*10^-2</f>
        <v>1.35</v>
      </c>
      <c r="CT41" s="5" t="s">
        <v>23</v>
      </c>
    </row>
    <row r="42" spans="1:101" x14ac:dyDescent="0.25">
      <c r="A42" s="5" t="s">
        <v>673</v>
      </c>
      <c r="B42" s="5">
        <v>0.7</v>
      </c>
      <c r="C42" s="5" t="s">
        <v>8</v>
      </c>
      <c r="D42" s="14" t="s">
        <v>150</v>
      </c>
      <c r="E42" s="5">
        <f>E41*$F$12</f>
        <v>1144.0630079999996</v>
      </c>
      <c r="F42" s="5" t="s">
        <v>119</v>
      </c>
      <c r="H42" s="9" t="s">
        <v>303</v>
      </c>
      <c r="I42" s="5">
        <f>I44</f>
        <v>0.15</v>
      </c>
      <c r="J42" s="5" t="s">
        <v>23</v>
      </c>
      <c r="L42" s="5" t="s">
        <v>761</v>
      </c>
      <c r="M42" s="5">
        <f>M40*M28</f>
        <v>9.7350000000000012</v>
      </c>
      <c r="N42" s="5" t="s">
        <v>33</v>
      </c>
      <c r="O42" t="s">
        <v>695</v>
      </c>
      <c r="P42" s="5">
        <f>SUM(P35:P41)*P27</f>
        <v>15.855000000000002</v>
      </c>
      <c r="Q42" s="5" t="s">
        <v>33</v>
      </c>
      <c r="R42" s="36"/>
      <c r="S42" s="5">
        <f>S37*$C$10*10^-2</f>
        <v>0.35000000000000003</v>
      </c>
      <c r="T42" s="5" t="s">
        <v>23</v>
      </c>
      <c r="V42" s="5" t="s">
        <v>620</v>
      </c>
      <c r="W42" s="5">
        <f>ROUND(W41/$F$9,0)</f>
        <v>9637</v>
      </c>
      <c r="X42" s="5"/>
      <c r="Z42" s="9" t="s">
        <v>762</v>
      </c>
      <c r="AA42" s="9">
        <f>AA41*AA36</f>
        <v>0.28415911728070958</v>
      </c>
      <c r="AB42" s="9" t="s">
        <v>21</v>
      </c>
      <c r="AD42" s="5" t="s">
        <v>763</v>
      </c>
      <c r="AE42" s="5">
        <f>AE39/AE41</f>
        <v>2909.2371323529405</v>
      </c>
      <c r="AF42" s="5" t="s">
        <v>764</v>
      </c>
      <c r="AH42" s="5" t="s">
        <v>765</v>
      </c>
      <c r="AI42" s="5">
        <f>AI40*AI41</f>
        <v>1952</v>
      </c>
      <c r="AJ42" s="5" t="s">
        <v>250</v>
      </c>
      <c r="AL42" s="5" t="s">
        <v>766</v>
      </c>
      <c r="AM42" s="5">
        <f>(AM41*50)*10^-2</f>
        <v>0.1</v>
      </c>
      <c r="AN42" s="5" t="s">
        <v>23</v>
      </c>
      <c r="AP42" s="14" t="s">
        <v>736</v>
      </c>
      <c r="AQ42" s="5">
        <f>AQ33</f>
        <v>1.820729166666667</v>
      </c>
      <c r="AR42" s="5" t="s">
        <v>21</v>
      </c>
      <c r="AT42" s="36"/>
      <c r="AU42" s="5">
        <f t="shared" ref="AU42:AU48" si="3">AU33*$C$10*10^-2</f>
        <v>2.25</v>
      </c>
      <c r="AV42" s="5" t="s">
        <v>23</v>
      </c>
      <c r="AX42" s="43"/>
      <c r="AY42" s="5" t="s">
        <v>647</v>
      </c>
      <c r="AZ42" s="5">
        <f>B50*AZ40</f>
        <v>5.4600000000000009</v>
      </c>
      <c r="BA42" s="5" t="s">
        <v>33</v>
      </c>
      <c r="BH42" s="5" t="s">
        <v>767</v>
      </c>
      <c r="BI42" s="5">
        <v>3.5</v>
      </c>
      <c r="BJ42" s="5" t="s">
        <v>8</v>
      </c>
      <c r="BL42" s="5" t="s">
        <v>768</v>
      </c>
      <c r="BM42" s="5">
        <f>(BI29*BI31)+(BI35*BI28)+(BI33*BI43)+((0.7*(BI27/BI26))*(0.4*(BI27/BI26)))+((1.3*(BI27/BI26))*(BI42))+(BI37*BI39)</f>
        <v>42.529242274819204</v>
      </c>
      <c r="BN42" s="5" t="s">
        <v>33</v>
      </c>
      <c r="BQ42" s="58" t="s">
        <v>157</v>
      </c>
      <c r="BR42" t="s">
        <v>511</v>
      </c>
      <c r="BS42" s="69">
        <f>AZ63</f>
        <v>123.032</v>
      </c>
      <c r="BT42" t="s">
        <v>119</v>
      </c>
      <c r="BU42" s="69">
        <f>BS42/$BR$25</f>
        <v>0.61106856251772612</v>
      </c>
      <c r="CC42" s="5" t="s">
        <v>321</v>
      </c>
      <c r="CD42" s="5">
        <v>80</v>
      </c>
      <c r="CE42">
        <f t="shared" si="0"/>
        <v>1.5625</v>
      </c>
      <c r="CG42">
        <f t="shared" si="1"/>
        <v>1.0375000000000001</v>
      </c>
      <c r="CO42" s="5" t="s">
        <v>597</v>
      </c>
      <c r="CP42" s="5">
        <f>SUM(CP24:CP41)</f>
        <v>32.15</v>
      </c>
      <c r="CQ42" s="11" t="s">
        <v>23</v>
      </c>
      <c r="CR42" s="36"/>
      <c r="CS42" s="5">
        <f>CS15</f>
        <v>1.35</v>
      </c>
      <c r="CT42" s="5" t="s">
        <v>23</v>
      </c>
    </row>
    <row r="43" spans="1:101" x14ac:dyDescent="0.25">
      <c r="A43" s="5" t="s">
        <v>769</v>
      </c>
      <c r="B43" s="5">
        <f>B40*$C$10*10^-2</f>
        <v>0.4</v>
      </c>
      <c r="C43" s="5" t="s">
        <v>23</v>
      </c>
      <c r="D43" s="48" t="s">
        <v>770</v>
      </c>
      <c r="F43" s="44"/>
      <c r="H43" s="5" t="s">
        <v>14</v>
      </c>
      <c r="I43" s="5">
        <v>0.3</v>
      </c>
      <c r="J43" s="5" t="s">
        <v>8</v>
      </c>
      <c r="L43" s="5" t="s">
        <v>298</v>
      </c>
      <c r="M43" s="5">
        <f>M35+M36+M41+M42</f>
        <v>34.515000000000001</v>
      </c>
      <c r="N43" s="5" t="s">
        <v>33</v>
      </c>
      <c r="O43" t="s">
        <v>601</v>
      </c>
      <c r="P43" s="5">
        <v>6</v>
      </c>
      <c r="Q43" s="5" t="s">
        <v>8</v>
      </c>
      <c r="R43" s="36"/>
      <c r="S43" s="5">
        <f>S38*$C$10*10^-2</f>
        <v>1.4000000000000001</v>
      </c>
      <c r="T43" s="5" t="s">
        <v>23</v>
      </c>
      <c r="V43" s="14" t="s">
        <v>513</v>
      </c>
      <c r="W43" s="5">
        <f>W42*$F$11</f>
        <v>24092.5</v>
      </c>
      <c r="X43" s="5" t="s">
        <v>119</v>
      </c>
      <c r="Z43" s="9" t="s">
        <v>771</v>
      </c>
      <c r="AA43" s="9">
        <f>AA32*(AA37*2)*0.2</f>
        <v>7.776000000000001E-2</v>
      </c>
      <c r="AB43" s="9" t="s">
        <v>21</v>
      </c>
      <c r="AD43" s="14" t="s">
        <v>118</v>
      </c>
      <c r="AE43" s="14">
        <f>AE42*F11</f>
        <v>7273.0928308823513</v>
      </c>
      <c r="AF43" s="14" t="s">
        <v>119</v>
      </c>
      <c r="AH43" s="14" t="s">
        <v>375</v>
      </c>
      <c r="AI43" s="14">
        <f>AI42*F11</f>
        <v>4880</v>
      </c>
      <c r="AJ43" s="14" t="s">
        <v>250</v>
      </c>
      <c r="AL43" s="20" t="s">
        <v>772</v>
      </c>
      <c r="AM43" s="20">
        <f>AM42*AM40*AM29</f>
        <v>3.4849999999999999E-2</v>
      </c>
      <c r="AN43" s="20" t="s">
        <v>21</v>
      </c>
      <c r="AP43" s="20" t="s">
        <v>747</v>
      </c>
      <c r="AQ43" s="9">
        <f>AQ38</f>
        <v>6408.9666666666672</v>
      </c>
      <c r="AR43" s="9" t="s">
        <v>119</v>
      </c>
      <c r="AT43" s="36"/>
      <c r="AU43" s="5">
        <f t="shared" si="3"/>
        <v>2.2000000000000002</v>
      </c>
      <c r="AV43" s="5" t="s">
        <v>23</v>
      </c>
      <c r="AX43" s="43"/>
      <c r="AY43" s="5" t="s">
        <v>659</v>
      </c>
      <c r="AZ43" s="5">
        <f>B51*AZ40</f>
        <v>1.2599999999999998</v>
      </c>
      <c r="BA43" s="5" t="s">
        <v>33</v>
      </c>
      <c r="BC43" s="21" t="s">
        <v>773</v>
      </c>
      <c r="BD43" s="4"/>
      <c r="BE43" s="2"/>
      <c r="BH43" s="5" t="s">
        <v>774</v>
      </c>
      <c r="BI43" s="5">
        <f>(BI27*BI42)/BI26</f>
        <v>3.5448717948717952</v>
      </c>
      <c r="BJ43" s="5" t="s">
        <v>23</v>
      </c>
      <c r="BL43" s="5" t="s">
        <v>775</v>
      </c>
      <c r="BM43" s="5">
        <f>(BI43*(2.3*(BI27/BI26)))+((3.2*(BI27/BI26))*BI59)+(BI53*BI47)+(BI49*(1.7*(BI27/BI26)))+(BI53*((3.6-BI54)*(BI27/BI26)))+(BI55*(3.2*(BI27/BI26)))</f>
        <v>35.174866863905336</v>
      </c>
      <c r="BN43" s="5" t="s">
        <v>33</v>
      </c>
      <c r="BS43" s="69"/>
      <c r="BU43" s="69"/>
      <c r="CC43" s="5" t="s">
        <v>329</v>
      </c>
      <c r="CD43" s="5">
        <v>80</v>
      </c>
      <c r="CE43">
        <f t="shared" si="0"/>
        <v>1.5625</v>
      </c>
      <c r="CF43">
        <v>1</v>
      </c>
      <c r="CG43">
        <f t="shared" si="1"/>
        <v>1.0375000000000001</v>
      </c>
      <c r="CH43">
        <v>1</v>
      </c>
      <c r="CR43" s="36"/>
      <c r="CS43" s="5">
        <f>CS15</f>
        <v>1.35</v>
      </c>
      <c r="CT43" s="5" t="s">
        <v>23</v>
      </c>
    </row>
    <row r="44" spans="1:101" x14ac:dyDescent="0.25">
      <c r="A44" s="5" t="s">
        <v>776</v>
      </c>
      <c r="B44" s="5">
        <f>B41*$C$10*10^-2</f>
        <v>0.9</v>
      </c>
      <c r="C44" s="5" t="s">
        <v>23</v>
      </c>
      <c r="D44" s="5" t="s">
        <v>54</v>
      </c>
      <c r="E44" s="5">
        <f>I30</f>
        <v>8.0500000000000007</v>
      </c>
      <c r="F44" s="5" t="s">
        <v>23</v>
      </c>
      <c r="H44" s="7" t="s">
        <v>158</v>
      </c>
      <c r="I44" s="7">
        <f>(I43*50)*10^-2</f>
        <v>0.15</v>
      </c>
      <c r="J44" s="7" t="s">
        <v>23</v>
      </c>
      <c r="L44" s="48" t="s">
        <v>777</v>
      </c>
      <c r="O44" s="9"/>
      <c r="P44" s="5">
        <v>3.6</v>
      </c>
      <c r="Q44" s="5" t="s">
        <v>8</v>
      </c>
      <c r="R44" s="36"/>
      <c r="S44" s="5">
        <f>S39*$C$10*10^-2</f>
        <v>1.7</v>
      </c>
      <c r="T44" s="5" t="s">
        <v>23</v>
      </c>
      <c r="V44" s="5" t="s">
        <v>128</v>
      </c>
      <c r="W44" s="5">
        <f>W42*($F$9-$F$8)</f>
        <v>28.140039999999992</v>
      </c>
      <c r="X44" s="5" t="s">
        <v>33</v>
      </c>
      <c r="Z44" s="20" t="s">
        <v>778</v>
      </c>
      <c r="AA44" s="20">
        <f>AA43+AA42+AA34</f>
        <v>0.71873992665146358</v>
      </c>
      <c r="AB44" s="20" t="s">
        <v>21</v>
      </c>
      <c r="AD44" s="5" t="s">
        <v>262</v>
      </c>
      <c r="AE44" s="5">
        <f>AE42*(F9-F8)</f>
        <v>8.4949724264705839</v>
      </c>
      <c r="AF44" s="5" t="s">
        <v>33</v>
      </c>
      <c r="AH44" s="5" t="s">
        <v>779</v>
      </c>
      <c r="AI44" s="5">
        <f>AI42*(F9-F8)</f>
        <v>5.6998399999999982</v>
      </c>
      <c r="AJ44" s="5" t="s">
        <v>33</v>
      </c>
      <c r="AL44" s="27" t="s">
        <v>780</v>
      </c>
      <c r="AM44" s="5">
        <v>3.3</v>
      </c>
      <c r="AN44" s="5" t="s">
        <v>8</v>
      </c>
      <c r="AP44" s="6" t="s">
        <v>155</v>
      </c>
      <c r="AQ44" s="4"/>
      <c r="AR44" s="2"/>
      <c r="AT44" s="36"/>
      <c r="AU44" s="5">
        <f t="shared" si="3"/>
        <v>5.65</v>
      </c>
      <c r="AV44" s="5" t="s">
        <v>23</v>
      </c>
      <c r="AX44" s="43"/>
      <c r="AY44" s="40" t="s">
        <v>81</v>
      </c>
      <c r="BA44" s="44"/>
      <c r="BC44" s="14" t="s">
        <v>781</v>
      </c>
      <c r="BD44" s="5">
        <f>AQ58*AQ55</f>
        <v>2.6899500000000001</v>
      </c>
      <c r="BE44" s="5" t="s">
        <v>21</v>
      </c>
      <c r="BH44" s="5" t="s">
        <v>782</v>
      </c>
      <c r="BI44" s="5">
        <v>0.6</v>
      </c>
      <c r="BJ44" s="5" t="s">
        <v>8</v>
      </c>
      <c r="BL44" s="5" t="s">
        <v>783</v>
      </c>
      <c r="BM44" s="5">
        <f>BM42+BM43</f>
        <v>77.704109138724533</v>
      </c>
      <c r="BN44" s="5" t="s">
        <v>33</v>
      </c>
      <c r="BQ44" s="59" t="s">
        <v>73</v>
      </c>
      <c r="BR44" s="59"/>
      <c r="BS44" s="73"/>
      <c r="BT44" s="59"/>
      <c r="BU44" s="73"/>
      <c r="BV44" s="59"/>
      <c r="CC44" s="5" t="s">
        <v>339</v>
      </c>
      <c r="CD44" s="5">
        <v>50</v>
      </c>
      <c r="CE44">
        <f t="shared" si="0"/>
        <v>2.5</v>
      </c>
      <c r="CF44">
        <v>2</v>
      </c>
      <c r="CG44">
        <f t="shared" si="1"/>
        <v>1.66</v>
      </c>
      <c r="CH44">
        <v>1</v>
      </c>
      <c r="CR44" s="36"/>
      <c r="CS44" s="5">
        <f>3.3*$C$10*10^-2</f>
        <v>1.6500000000000001</v>
      </c>
      <c r="CT44" s="5" t="s">
        <v>23</v>
      </c>
    </row>
    <row r="45" spans="1:101" x14ac:dyDescent="0.25">
      <c r="A45" s="5" t="s">
        <v>420</v>
      </c>
      <c r="B45" s="5">
        <f>B42*$C$10*10^-2</f>
        <v>0.35000000000000003</v>
      </c>
      <c r="C45" s="5" t="s">
        <v>23</v>
      </c>
      <c r="D45" s="5" t="s">
        <v>784</v>
      </c>
      <c r="E45" s="5">
        <f>I33</f>
        <v>3.9</v>
      </c>
      <c r="F45" s="5" t="s">
        <v>23</v>
      </c>
      <c r="H45" s="7" t="s">
        <v>269</v>
      </c>
      <c r="I45" s="7">
        <v>14</v>
      </c>
      <c r="J45" s="7"/>
      <c r="L45" s="5" t="s">
        <v>653</v>
      </c>
      <c r="M45" s="5">
        <v>7.7</v>
      </c>
      <c r="N45" s="11" t="s">
        <v>8</v>
      </c>
      <c r="O45" s="36"/>
      <c r="P45" s="5">
        <v>4.0999999999999996</v>
      </c>
      <c r="Q45" s="5" t="s">
        <v>8</v>
      </c>
      <c r="R45" s="7"/>
      <c r="S45" s="5">
        <f>S40*$C$10*10^-2</f>
        <v>3.3000000000000003</v>
      </c>
      <c r="T45" s="5" t="s">
        <v>23</v>
      </c>
      <c r="V45" s="5" t="s">
        <v>138</v>
      </c>
      <c r="W45" s="5">
        <f>W44*(($F$4)*10^-2)</f>
        <v>3.0391243199999995</v>
      </c>
      <c r="X45" s="5" t="s">
        <v>21</v>
      </c>
      <c r="Z45" s="14" t="s">
        <v>785</v>
      </c>
      <c r="AA45" s="14">
        <f>AA44*AA26</f>
        <v>1.4374798533029272</v>
      </c>
      <c r="AB45" s="14" t="s">
        <v>21</v>
      </c>
      <c r="AD45" s="5" t="s">
        <v>395</v>
      </c>
      <c r="AE45" s="5">
        <f>AE44*(F4*10^-2)</f>
        <v>0.91745702205882318</v>
      </c>
      <c r="AF45" s="5" t="s">
        <v>21</v>
      </c>
      <c r="AH45" s="5" t="s">
        <v>274</v>
      </c>
      <c r="AI45" s="5">
        <f>AI44*(F4*10^-2)</f>
        <v>0.61558271999999992</v>
      </c>
      <c r="AJ45" s="5" t="s">
        <v>21</v>
      </c>
      <c r="AL45" s="9" t="s">
        <v>786</v>
      </c>
      <c r="AM45" s="9">
        <f>(AM44*50)*10^-2</f>
        <v>1.6500000000000001</v>
      </c>
      <c r="AN45" s="9" t="s">
        <v>23</v>
      </c>
      <c r="AP45" s="7" t="s">
        <v>165</v>
      </c>
      <c r="AQ45" s="5">
        <f>0.5*10^-2</f>
        <v>5.0000000000000001E-3</v>
      </c>
      <c r="AR45" s="7" t="s">
        <v>23</v>
      </c>
      <c r="AT45" s="36"/>
      <c r="AU45" s="5">
        <f t="shared" si="3"/>
        <v>1.95</v>
      </c>
      <c r="AV45" s="5" t="s">
        <v>23</v>
      </c>
      <c r="AX45" s="43"/>
      <c r="AY45" s="5" t="s">
        <v>680</v>
      </c>
      <c r="AZ45" s="5">
        <f>AZ27-AZ41</f>
        <v>37.642500000000005</v>
      </c>
      <c r="BA45" s="5" t="s">
        <v>33</v>
      </c>
      <c r="BC45" s="14" t="s">
        <v>787</v>
      </c>
      <c r="BD45" s="5">
        <f>AQ58*AQ66</f>
        <v>1.7933000000000001</v>
      </c>
      <c r="BE45" s="5" t="s">
        <v>21</v>
      </c>
      <c r="BH45" s="5" t="s">
        <v>788</v>
      </c>
      <c r="BI45" s="5">
        <f>(BI27*BI44)/BI26</f>
        <v>0.60769230769230775</v>
      </c>
      <c r="BJ45" s="5" t="s">
        <v>23</v>
      </c>
      <c r="BQ45" s="58" t="s">
        <v>260</v>
      </c>
      <c r="BR45" t="s">
        <v>541</v>
      </c>
      <c r="BS45" s="69">
        <f>BI66</f>
        <v>17295</v>
      </c>
      <c r="BT45" t="s">
        <v>789</v>
      </c>
      <c r="BU45" s="69">
        <f>BS45/$BR$25</f>
        <v>85.899853605111474</v>
      </c>
      <c r="CC45" s="5" t="s">
        <v>346</v>
      </c>
      <c r="CD45" s="5">
        <v>50</v>
      </c>
      <c r="CE45">
        <f t="shared" si="0"/>
        <v>2.5</v>
      </c>
      <c r="CF45">
        <v>2</v>
      </c>
      <c r="CG45">
        <f t="shared" si="1"/>
        <v>1.66</v>
      </c>
      <c r="CH45">
        <v>1</v>
      </c>
      <c r="CR45" s="36"/>
      <c r="CS45" s="5">
        <f>3.6*$C$10*10^-2</f>
        <v>1.8</v>
      </c>
      <c r="CT45" s="5" t="s">
        <v>23</v>
      </c>
    </row>
    <row r="46" spans="1:101" x14ac:dyDescent="0.25">
      <c r="A46" s="5" t="s">
        <v>790</v>
      </c>
      <c r="B46" s="5">
        <f>B43*B45</f>
        <v>0.14000000000000001</v>
      </c>
      <c r="C46" s="5" t="s">
        <v>33</v>
      </c>
      <c r="D46" s="5" t="s">
        <v>791</v>
      </c>
      <c r="E46" s="5">
        <v>6.5</v>
      </c>
      <c r="F46" s="5" t="s">
        <v>8</v>
      </c>
      <c r="H46" s="9" t="s">
        <v>792</v>
      </c>
      <c r="I46" s="9">
        <f>I34</f>
        <v>5.6045182665417377</v>
      </c>
      <c r="J46" s="9" t="s">
        <v>23</v>
      </c>
      <c r="L46" s="5" t="s">
        <v>793</v>
      </c>
      <c r="M46" s="5">
        <v>7.7</v>
      </c>
      <c r="N46" s="11" t="s">
        <v>8</v>
      </c>
      <c r="O46" s="36"/>
      <c r="P46" s="5">
        <v>2.7</v>
      </c>
      <c r="Q46" s="5" t="s">
        <v>8</v>
      </c>
      <c r="R46" s="5" t="s">
        <v>695</v>
      </c>
      <c r="S46" s="5">
        <f>SUM(S41:S45)*P27</f>
        <v>14.805000000000001</v>
      </c>
      <c r="T46" s="5" t="s">
        <v>33</v>
      </c>
      <c r="V46" s="14" t="s">
        <v>281</v>
      </c>
      <c r="W46" s="5">
        <f>W45*$F$12</f>
        <v>5166.5113439999996</v>
      </c>
      <c r="X46" s="5" t="s">
        <v>119</v>
      </c>
      <c r="AD46" s="14" t="s">
        <v>281</v>
      </c>
      <c r="AE46" s="14">
        <f>AE45*F12</f>
        <v>1559.6769374999994</v>
      </c>
      <c r="AF46" s="14" t="s">
        <v>119</v>
      </c>
      <c r="AH46" s="14" t="s">
        <v>491</v>
      </c>
      <c r="AI46" s="14">
        <f>AI45*F12</f>
        <v>1046.4906239999998</v>
      </c>
      <c r="AJ46" s="14" t="s">
        <v>52</v>
      </c>
      <c r="AL46" s="20" t="s">
        <v>794</v>
      </c>
      <c r="AM46" s="20">
        <f>AM45*AM42*AM31</f>
        <v>1.6500000000000004E-2</v>
      </c>
      <c r="AN46" s="20" t="s">
        <v>21</v>
      </c>
      <c r="AP46" s="5" t="s">
        <v>14</v>
      </c>
      <c r="AQ46" s="5">
        <f>5*10^-2</f>
        <v>0.05</v>
      </c>
      <c r="AR46" s="5" t="s">
        <v>23</v>
      </c>
      <c r="AT46" s="36"/>
      <c r="AU46" s="5">
        <f t="shared" si="3"/>
        <v>1.85</v>
      </c>
      <c r="AV46" s="5" t="s">
        <v>23</v>
      </c>
      <c r="AX46" s="43"/>
      <c r="AY46" s="5" t="s">
        <v>620</v>
      </c>
      <c r="AZ46" s="5">
        <f>ROUND(AZ45/$F$9,0)</f>
        <v>2471</v>
      </c>
      <c r="BA46" s="5"/>
      <c r="BH46" s="5" t="s">
        <v>795</v>
      </c>
      <c r="BI46" s="5">
        <v>1.7</v>
      </c>
      <c r="BJ46" s="5" t="s">
        <v>8</v>
      </c>
      <c r="BQ46" s="58" t="s">
        <v>537</v>
      </c>
      <c r="BR46" t="s">
        <v>538</v>
      </c>
      <c r="BS46" s="69">
        <f>BI69</f>
        <v>3708.8228159999985</v>
      </c>
      <c r="BT46" t="s">
        <v>119</v>
      </c>
      <c r="BU46" s="69">
        <f>BS46/$BR$25</f>
        <v>18.4207769263774</v>
      </c>
      <c r="CC46" s="5" t="s">
        <v>355</v>
      </c>
      <c r="CD46" s="5">
        <v>80</v>
      </c>
      <c r="CE46">
        <f t="shared" si="0"/>
        <v>1.5625</v>
      </c>
      <c r="CG46">
        <f t="shared" si="1"/>
        <v>1.0375000000000001</v>
      </c>
      <c r="CH46">
        <v>1</v>
      </c>
      <c r="CR46" s="36"/>
      <c r="CS46" s="5">
        <f>CS15</f>
        <v>1.35</v>
      </c>
      <c r="CT46" s="5" t="s">
        <v>23</v>
      </c>
    </row>
    <row r="47" spans="1:101" x14ac:dyDescent="0.25">
      <c r="A47" s="5" t="s">
        <v>796</v>
      </c>
      <c r="B47" s="5">
        <f>B44*B45</f>
        <v>0.31500000000000006</v>
      </c>
      <c r="C47" s="5" t="s">
        <v>33</v>
      </c>
      <c r="D47" s="5" t="s">
        <v>13</v>
      </c>
      <c r="E47" s="5">
        <f>E46*$C$10*10^-2</f>
        <v>3.25</v>
      </c>
      <c r="F47" s="5" t="s">
        <v>23</v>
      </c>
      <c r="H47" s="5" t="s">
        <v>797</v>
      </c>
      <c r="I47" s="5">
        <f>I46*I44*I42</f>
        <v>0.12610166099718909</v>
      </c>
      <c r="J47" s="5" t="s">
        <v>21</v>
      </c>
      <c r="L47" s="5" t="s">
        <v>798</v>
      </c>
      <c r="M47" s="5">
        <v>5.0999999999999996</v>
      </c>
      <c r="N47" s="11" t="s">
        <v>8</v>
      </c>
      <c r="O47" s="7"/>
      <c r="P47" s="5">
        <v>1.3</v>
      </c>
      <c r="Q47" s="5" t="s">
        <v>8</v>
      </c>
      <c r="R47" t="s">
        <v>799</v>
      </c>
      <c r="S47" s="5">
        <v>3.3</v>
      </c>
      <c r="T47" s="5" t="s">
        <v>8</v>
      </c>
      <c r="V47" s="6" t="s">
        <v>665</v>
      </c>
      <c r="W47" s="4"/>
      <c r="X47" s="2"/>
      <c r="AL47" s="27" t="s">
        <v>800</v>
      </c>
      <c r="AM47" s="5">
        <f>0.8</f>
        <v>0.8</v>
      </c>
      <c r="AN47" s="5" t="s">
        <v>8</v>
      </c>
      <c r="AP47" s="5" t="s">
        <v>124</v>
      </c>
      <c r="AQ47" s="5">
        <f>AE26</f>
        <v>11.35</v>
      </c>
      <c r="AR47" s="5" t="s">
        <v>23</v>
      </c>
      <c r="AT47" s="36"/>
      <c r="AU47" s="5">
        <f t="shared" si="3"/>
        <v>0.70000000000000007</v>
      </c>
      <c r="AV47" s="5" t="s">
        <v>23</v>
      </c>
      <c r="AX47" s="43"/>
      <c r="AY47" s="14" t="s">
        <v>513</v>
      </c>
      <c r="AZ47" s="5">
        <f>AZ46*$F$11</f>
        <v>6177.5</v>
      </c>
      <c r="BA47" s="5" t="s">
        <v>119</v>
      </c>
      <c r="BC47" s="21" t="s">
        <v>801</v>
      </c>
      <c r="BD47" s="4"/>
      <c r="BE47" s="2"/>
      <c r="BH47" s="5" t="s">
        <v>802</v>
      </c>
      <c r="BI47" s="5">
        <f>(BI27*BI46)/BI26</f>
        <v>1.7217948717948719</v>
      </c>
      <c r="BJ47" s="5" t="s">
        <v>23</v>
      </c>
      <c r="BQ47" s="58" t="s">
        <v>540</v>
      </c>
      <c r="BR47" t="s">
        <v>538</v>
      </c>
      <c r="BS47" s="69">
        <f>BI73</f>
        <v>5374.0661538461545</v>
      </c>
      <c r="BT47" t="s">
        <v>119</v>
      </c>
      <c r="BU47" s="69">
        <f>BS47/$BR$25</f>
        <v>26.691615835765777</v>
      </c>
      <c r="CC47" s="5" t="s">
        <v>362</v>
      </c>
      <c r="CD47" s="5">
        <v>50</v>
      </c>
      <c r="CE47">
        <f t="shared" si="0"/>
        <v>2.5</v>
      </c>
      <c r="CG47">
        <f t="shared" si="1"/>
        <v>1.66</v>
      </c>
      <c r="CH47">
        <v>1</v>
      </c>
      <c r="CR47" s="36"/>
      <c r="CS47" s="5">
        <f>CS15</f>
        <v>1.35</v>
      </c>
      <c r="CT47" s="5" t="s">
        <v>23</v>
      </c>
    </row>
    <row r="48" spans="1:101" x14ac:dyDescent="0.25">
      <c r="A48" s="5" t="s">
        <v>803</v>
      </c>
      <c r="B48" s="5">
        <v>2</v>
      </c>
      <c r="C48" s="5"/>
      <c r="D48" s="5" t="s">
        <v>804</v>
      </c>
      <c r="E48" s="5">
        <f>(1/2)*E44*E45</f>
        <v>15.697500000000002</v>
      </c>
      <c r="F48" s="5" t="s">
        <v>33</v>
      </c>
      <c r="H48" s="5" t="s">
        <v>805</v>
      </c>
      <c r="I48" s="5">
        <f>I47*I46*(I45*2)</f>
        <v>19.78869375</v>
      </c>
      <c r="J48" s="5" t="s">
        <v>21</v>
      </c>
      <c r="L48" s="5" t="s">
        <v>806</v>
      </c>
      <c r="M48" s="5">
        <f>6.8</f>
        <v>6.8</v>
      </c>
      <c r="N48" s="5" t="s">
        <v>8</v>
      </c>
      <c r="O48" t="s">
        <v>642</v>
      </c>
      <c r="P48" s="5">
        <f>P43*$C$10*10^-2</f>
        <v>3</v>
      </c>
      <c r="Q48" s="5" t="s">
        <v>23</v>
      </c>
      <c r="S48" s="5">
        <v>1</v>
      </c>
      <c r="T48" s="5" t="s">
        <v>8</v>
      </c>
      <c r="V48" s="5" t="s">
        <v>807</v>
      </c>
      <c r="W48" s="5">
        <f>(5+6)*2</f>
        <v>22</v>
      </c>
      <c r="X48" s="5" t="s">
        <v>8</v>
      </c>
      <c r="AL48" s="5" t="s">
        <v>808</v>
      </c>
      <c r="AM48" s="5">
        <f>(AM47*50)*10^-2</f>
        <v>0.4</v>
      </c>
      <c r="AN48" s="5" t="s">
        <v>8</v>
      </c>
      <c r="AP48" s="5" t="s">
        <v>194</v>
      </c>
      <c r="AQ48" s="5">
        <f>ROUND(AQ47/1,0)</f>
        <v>11</v>
      </c>
      <c r="AR48" s="5"/>
      <c r="AT48" s="36"/>
      <c r="AU48" s="5">
        <f t="shared" si="3"/>
        <v>0.8</v>
      </c>
      <c r="AV48" s="5" t="s">
        <v>23</v>
      </c>
      <c r="AX48" s="43"/>
      <c r="AY48" s="5" t="s">
        <v>128</v>
      </c>
      <c r="AZ48" s="5">
        <f>AZ46*($F$9-$F$8)</f>
        <v>7.2153199999999975</v>
      </c>
      <c r="BA48" s="5" t="s">
        <v>33</v>
      </c>
      <c r="BC48" s="5" t="s">
        <v>809</v>
      </c>
      <c r="BD48" s="5">
        <f>6/20</f>
        <v>0.3</v>
      </c>
      <c r="BE48" s="5" t="s">
        <v>810</v>
      </c>
      <c r="BH48" s="5" t="s">
        <v>811</v>
      </c>
      <c r="BI48" s="5">
        <v>0.8</v>
      </c>
      <c r="BJ48" s="5" t="s">
        <v>8</v>
      </c>
      <c r="BS48" s="69"/>
      <c r="BU48" s="69"/>
      <c r="CC48" s="5" t="s">
        <v>370</v>
      </c>
      <c r="CD48" s="5">
        <v>80</v>
      </c>
      <c r="CE48">
        <f t="shared" si="0"/>
        <v>1.5625</v>
      </c>
      <c r="CF48">
        <v>1</v>
      </c>
      <c r="CG48">
        <f t="shared" si="1"/>
        <v>1.0375000000000001</v>
      </c>
      <c r="CH48">
        <v>1</v>
      </c>
      <c r="CR48" s="36"/>
      <c r="CS48" s="5">
        <f>3.7*$C$10*10^-2</f>
        <v>1.85</v>
      </c>
      <c r="CT48" s="5" t="s">
        <v>23</v>
      </c>
    </row>
    <row r="49" spans="1:98" x14ac:dyDescent="0.25">
      <c r="A49" s="5" t="s">
        <v>812</v>
      </c>
      <c r="B49" s="5">
        <v>2</v>
      </c>
      <c r="C49" s="5"/>
      <c r="D49" s="5" t="s">
        <v>813</v>
      </c>
      <c r="E49" s="5">
        <f>E44*E47</f>
        <v>26.162500000000001</v>
      </c>
      <c r="F49" s="5" t="s">
        <v>33</v>
      </c>
      <c r="L49" s="5" t="s">
        <v>712</v>
      </c>
      <c r="M49" s="5">
        <v>6.4</v>
      </c>
      <c r="N49" s="5" t="s">
        <v>8</v>
      </c>
      <c r="P49" s="5">
        <f>P44*$C$10*10^-2</f>
        <v>1.8</v>
      </c>
      <c r="Q49" s="5" t="s">
        <v>23</v>
      </c>
      <c r="S49" s="5">
        <v>2.7</v>
      </c>
      <c r="T49" s="5" t="s">
        <v>8</v>
      </c>
      <c r="V49" s="5" t="s">
        <v>770</v>
      </c>
      <c r="W49" s="5">
        <f>S25*$C$10*10^-2</f>
        <v>1.55</v>
      </c>
      <c r="X49" s="5" t="s">
        <v>23</v>
      </c>
      <c r="AL49" s="20" t="s">
        <v>814</v>
      </c>
      <c r="AM49" s="20">
        <f>AM48*AM32*AM32</f>
        <v>1.0000000000000002E-3</v>
      </c>
      <c r="AN49" s="20" t="s">
        <v>21</v>
      </c>
      <c r="AP49" s="5" t="s">
        <v>205</v>
      </c>
      <c r="AQ49" s="5">
        <f>AQ45*AQ46*AQ47*AQ48</f>
        <v>3.1212500000000001E-2</v>
      </c>
      <c r="AR49" s="5" t="s">
        <v>21</v>
      </c>
      <c r="AT49" s="7"/>
      <c r="AU49" s="5">
        <f>AU40*$C$10*10^-2</f>
        <v>0.8</v>
      </c>
      <c r="AV49" s="5" t="s">
        <v>23</v>
      </c>
      <c r="AX49" s="43"/>
      <c r="AY49" s="5" t="s">
        <v>138</v>
      </c>
      <c r="AZ49" s="5">
        <f>AZ48*(($F$4)*10^-2)</f>
        <v>0.77925455999999982</v>
      </c>
      <c r="BA49" s="5" t="s">
        <v>21</v>
      </c>
      <c r="BC49" s="14" t="s">
        <v>815</v>
      </c>
      <c r="BD49" s="5">
        <f>BD48*BD50</f>
        <v>26.8995</v>
      </c>
      <c r="BE49" s="5" t="s">
        <v>119</v>
      </c>
      <c r="BH49" s="5" t="s">
        <v>816</v>
      </c>
      <c r="BI49" s="5">
        <f>(BI27*BI48)/BI26</f>
        <v>0.81025641025641026</v>
      </c>
      <c r="BJ49" s="5" t="s">
        <v>23</v>
      </c>
      <c r="BQ49" s="59" t="s">
        <v>548</v>
      </c>
      <c r="BR49" s="59"/>
      <c r="BS49" s="73"/>
      <c r="BT49" s="59"/>
      <c r="BU49" s="73"/>
      <c r="BV49" s="59"/>
      <c r="CC49" s="5" t="s">
        <v>378</v>
      </c>
      <c r="CD49" s="5">
        <v>60</v>
      </c>
      <c r="CE49">
        <f t="shared" si="0"/>
        <v>2.0833333333333335</v>
      </c>
      <c r="CG49">
        <f t="shared" si="1"/>
        <v>1.3833333333333333</v>
      </c>
      <c r="CH49">
        <v>1</v>
      </c>
      <c r="CR49" s="36"/>
      <c r="CS49" s="5">
        <f>3.1</f>
        <v>3.1</v>
      </c>
      <c r="CT49" s="5" t="s">
        <v>23</v>
      </c>
    </row>
    <row r="50" spans="1:98" x14ac:dyDescent="0.25">
      <c r="A50" s="5" t="s">
        <v>817</v>
      </c>
      <c r="B50" s="5">
        <f>(B46*B48)+(B47*B49)</f>
        <v>0.91000000000000014</v>
      </c>
      <c r="C50" s="5" t="s">
        <v>33</v>
      </c>
      <c r="D50" s="5" t="s">
        <v>818</v>
      </c>
      <c r="E50" s="5">
        <v>2</v>
      </c>
      <c r="F50" s="5"/>
      <c r="H50" s="27" t="s">
        <v>341</v>
      </c>
      <c r="I50" s="5"/>
      <c r="J50" s="5"/>
      <c r="L50" s="5" t="s">
        <v>675</v>
      </c>
      <c r="M50" s="5">
        <f>M45*$C$10*10^-2</f>
        <v>3.85</v>
      </c>
      <c r="N50" s="5" t="s">
        <v>23</v>
      </c>
      <c r="P50" s="5">
        <f t="shared" ref="P50:P51" si="4">P45*$C$10*10^-2</f>
        <v>2.0499999999999998</v>
      </c>
      <c r="Q50" s="5" t="s">
        <v>23</v>
      </c>
      <c r="S50" s="5">
        <v>1</v>
      </c>
      <c r="T50" s="5" t="s">
        <v>8</v>
      </c>
      <c r="V50" s="5" t="s">
        <v>819</v>
      </c>
      <c r="W50" s="5">
        <f>W49*P27</f>
        <v>3.2550000000000003</v>
      </c>
      <c r="X50" s="5" t="s">
        <v>33</v>
      </c>
      <c r="AL50" s="27" t="s">
        <v>820</v>
      </c>
      <c r="AM50" s="5">
        <v>3.2</v>
      </c>
      <c r="AN50" s="5" t="s">
        <v>8</v>
      </c>
      <c r="AP50" s="5" t="s">
        <v>215</v>
      </c>
      <c r="AQ50" s="5">
        <v>7850</v>
      </c>
      <c r="AR50" s="5" t="s">
        <v>35</v>
      </c>
      <c r="AT50" s="6" t="s">
        <v>599</v>
      </c>
      <c r="AU50" s="4"/>
      <c r="AV50" s="2"/>
      <c r="AX50" s="43"/>
      <c r="AY50" s="14" t="s">
        <v>150</v>
      </c>
      <c r="AZ50" s="5">
        <f>AZ49*$F$12</f>
        <v>1324.7327519999997</v>
      </c>
      <c r="BA50" s="5" t="s">
        <v>119</v>
      </c>
      <c r="BC50" s="5" t="s">
        <v>356</v>
      </c>
      <c r="BD50" s="5">
        <f>AQ58</f>
        <v>89.665000000000006</v>
      </c>
      <c r="BE50" s="5" t="s">
        <v>33</v>
      </c>
      <c r="BH50" s="5" t="s">
        <v>821</v>
      </c>
      <c r="BI50" s="5">
        <v>3</v>
      </c>
      <c r="BJ50" s="5" t="s">
        <v>8</v>
      </c>
      <c r="BQ50" s="58" t="s">
        <v>549</v>
      </c>
      <c r="BR50" t="s">
        <v>539</v>
      </c>
      <c r="BS50" s="69">
        <f>BD38</f>
        <v>4.9153062500000004</v>
      </c>
      <c r="BT50" t="s">
        <v>21</v>
      </c>
      <c r="BU50" s="69">
        <f t="shared" ref="BU50:BU57" si="5">BS50/$BR$25</f>
        <v>2.4413072408169385E-2</v>
      </c>
      <c r="CC50" s="5" t="s">
        <v>386</v>
      </c>
      <c r="CD50" s="5">
        <v>40</v>
      </c>
      <c r="CE50">
        <f t="shared" si="0"/>
        <v>3.125</v>
      </c>
      <c r="CG50">
        <f t="shared" si="1"/>
        <v>2.0750000000000002</v>
      </c>
      <c r="CH50">
        <v>2</v>
      </c>
      <c r="CR50" s="36"/>
      <c r="CS50" s="5">
        <f>CS15</f>
        <v>1.35</v>
      </c>
      <c r="CT50" s="5" t="s">
        <v>23</v>
      </c>
    </row>
    <row r="51" spans="1:98" x14ac:dyDescent="0.25">
      <c r="A51" s="5" t="s">
        <v>178</v>
      </c>
      <c r="B51" s="5">
        <f>B36-B50</f>
        <v>0.20999999999999996</v>
      </c>
      <c r="C51" s="5" t="s">
        <v>33</v>
      </c>
      <c r="D51" s="5" t="s">
        <v>822</v>
      </c>
      <c r="E51" s="5">
        <f>(E48+E49)*E50</f>
        <v>83.72</v>
      </c>
      <c r="F51" s="5" t="s">
        <v>33</v>
      </c>
      <c r="H51" s="5" t="s">
        <v>823</v>
      </c>
      <c r="I51" s="5">
        <v>6.8</v>
      </c>
      <c r="J51" s="5" t="s">
        <v>8</v>
      </c>
      <c r="L51" s="5" t="s">
        <v>824</v>
      </c>
      <c r="M51" s="5">
        <f>M46*$C$10*10^-2</f>
        <v>3.85</v>
      </c>
      <c r="N51" s="5" t="s">
        <v>23</v>
      </c>
      <c r="P51" s="5">
        <f t="shared" si="4"/>
        <v>1.35</v>
      </c>
      <c r="Q51" s="5" t="s">
        <v>23</v>
      </c>
      <c r="S51" s="5">
        <v>0.6</v>
      </c>
      <c r="T51" s="5" t="s">
        <v>8</v>
      </c>
      <c r="V51" s="5" t="s">
        <v>165</v>
      </c>
      <c r="W51" s="5">
        <v>15</v>
      </c>
      <c r="X51" s="5" t="s">
        <v>210</v>
      </c>
      <c r="AH51" s="27" t="s">
        <v>825</v>
      </c>
      <c r="AI51" s="5"/>
      <c r="AJ51" s="5"/>
      <c r="AL51" s="5" t="s">
        <v>826</v>
      </c>
      <c r="AM51" s="5">
        <f>(AM50*50)*10^-2</f>
        <v>1.6</v>
      </c>
      <c r="AN51" s="5" t="s">
        <v>23</v>
      </c>
      <c r="AP51" s="5" t="s">
        <v>227</v>
      </c>
      <c r="AQ51" s="5">
        <f>AQ49*AQ50</f>
        <v>245.018125</v>
      </c>
      <c r="AR51" s="5" t="s">
        <v>119</v>
      </c>
      <c r="AT51" s="5" t="s">
        <v>669</v>
      </c>
      <c r="AU51" s="5">
        <v>11.3</v>
      </c>
      <c r="AV51" s="5" t="s">
        <v>8</v>
      </c>
      <c r="AX51" s="43"/>
      <c r="AY51" s="40" t="s">
        <v>827</v>
      </c>
      <c r="BA51" s="44"/>
      <c r="BC51" s="5" t="s">
        <v>138</v>
      </c>
      <c r="BD51" s="5">
        <f>($W$51*10^-3)*BD50</f>
        <v>1.344975</v>
      </c>
      <c r="BE51" s="5" t="s">
        <v>21</v>
      </c>
      <c r="BH51" s="5" t="s">
        <v>828</v>
      </c>
      <c r="BI51" s="5">
        <f>(BI27*BI50)/BI26</f>
        <v>3.0384615384615388</v>
      </c>
      <c r="BJ51" s="5" t="s">
        <v>23</v>
      </c>
      <c r="BQ51" s="58" t="s">
        <v>604</v>
      </c>
      <c r="BR51" t="s">
        <v>539</v>
      </c>
      <c r="BS51" s="69">
        <f>BD39</f>
        <v>1.820729166666667</v>
      </c>
      <c r="BT51" t="s">
        <v>21</v>
      </c>
      <c r="BU51" s="69">
        <f t="shared" si="5"/>
        <v>9.0430973617359519E-3</v>
      </c>
      <c r="CC51" s="5" t="s">
        <v>392</v>
      </c>
      <c r="CD51" s="5">
        <v>60</v>
      </c>
      <c r="CE51">
        <f t="shared" si="0"/>
        <v>2.0833333333333335</v>
      </c>
      <c r="CF51">
        <v>2</v>
      </c>
      <c r="CG51">
        <f t="shared" si="1"/>
        <v>1.3833333333333333</v>
      </c>
      <c r="CH51">
        <v>1</v>
      </c>
      <c r="CR51" s="36"/>
      <c r="CS51" s="5">
        <f>CS15</f>
        <v>1.35</v>
      </c>
      <c r="CT51" s="5" t="s">
        <v>23</v>
      </c>
    </row>
    <row r="52" spans="1:98" x14ac:dyDescent="0.25">
      <c r="A52" s="5" t="s">
        <v>170</v>
      </c>
      <c r="B52" s="5">
        <f>B50*B37</f>
        <v>4.5500000000000007</v>
      </c>
      <c r="C52" s="5" t="s">
        <v>33</v>
      </c>
      <c r="D52" s="48" t="s">
        <v>81</v>
      </c>
      <c r="F52" s="44"/>
      <c r="H52" s="5" t="s">
        <v>829</v>
      </c>
      <c r="I52" s="5">
        <f>(I51*50)*10^-2</f>
        <v>3.4</v>
      </c>
      <c r="J52" s="5" t="s">
        <v>23</v>
      </c>
      <c r="L52" s="5" t="s">
        <v>830</v>
      </c>
      <c r="M52" s="5">
        <f>M47*$C$10*10^-2</f>
        <v>2.5499999999999998</v>
      </c>
      <c r="N52" s="5" t="s">
        <v>23</v>
      </c>
      <c r="P52" s="5">
        <f>P47*$C$10*10^-2</f>
        <v>0.65</v>
      </c>
      <c r="Q52" s="5" t="s">
        <v>23</v>
      </c>
      <c r="S52" s="5">
        <v>5</v>
      </c>
      <c r="T52" s="5" t="s">
        <v>8</v>
      </c>
      <c r="V52" s="5" t="s">
        <v>138</v>
      </c>
      <c r="W52" s="5">
        <f>($W$51*10^-3)*(W41+W50)</f>
        <v>2.2507874999999999</v>
      </c>
      <c r="X52" s="5" t="s">
        <v>21</v>
      </c>
      <c r="AH52" s="5" t="s">
        <v>14</v>
      </c>
      <c r="AI52" s="5">
        <v>0.8</v>
      </c>
      <c r="AJ52" s="5" t="s">
        <v>8</v>
      </c>
      <c r="AL52" s="14" t="s">
        <v>831</v>
      </c>
      <c r="AM52" s="14">
        <f>AM51*AM30*AM29</f>
        <v>4.0800000000000003E-2</v>
      </c>
      <c r="AN52" s="14" t="s">
        <v>21</v>
      </c>
      <c r="AT52" s="5" t="s">
        <v>832</v>
      </c>
      <c r="AU52" s="5">
        <f>AU51*$C$10*10^-2</f>
        <v>5.65</v>
      </c>
      <c r="AV52" s="5" t="s">
        <v>23</v>
      </c>
      <c r="AX52" s="43"/>
      <c r="AY52" s="5" t="s">
        <v>61</v>
      </c>
      <c r="AZ52" s="5">
        <f>E49</f>
        <v>26.162500000000001</v>
      </c>
      <c r="BA52" s="5" t="s">
        <v>33</v>
      </c>
      <c r="BC52" s="14" t="s">
        <v>281</v>
      </c>
      <c r="BD52" s="5">
        <f>BD51*$F$12</f>
        <v>2286.4575</v>
      </c>
      <c r="BE52" s="5" t="s">
        <v>119</v>
      </c>
      <c r="BH52" s="5" t="s">
        <v>833</v>
      </c>
      <c r="BI52" s="5">
        <v>2.6</v>
      </c>
      <c r="BJ52" s="5" t="s">
        <v>8</v>
      </c>
      <c r="BQ52" s="58" t="s">
        <v>834</v>
      </c>
      <c r="BR52" t="s">
        <v>835</v>
      </c>
      <c r="BS52" s="69">
        <f>BD40</f>
        <v>6408.9666666666672</v>
      </c>
      <c r="BT52" t="s">
        <v>119</v>
      </c>
      <c r="BU52" s="69">
        <f t="shared" si="5"/>
        <v>31.831702713310548</v>
      </c>
      <c r="CC52" s="5" t="s">
        <v>398</v>
      </c>
      <c r="CD52" s="5">
        <v>80</v>
      </c>
      <c r="CE52">
        <f t="shared" si="0"/>
        <v>1.5625</v>
      </c>
      <c r="CG52">
        <f t="shared" si="1"/>
        <v>1.0375000000000001</v>
      </c>
      <c r="CR52" s="7"/>
      <c r="CS52" s="5">
        <f>2*$C$10*10^-2</f>
        <v>1</v>
      </c>
      <c r="CT52" s="5" t="s">
        <v>23</v>
      </c>
    </row>
    <row r="53" spans="1:98" ht="18.75" x14ac:dyDescent="0.3">
      <c r="A53" s="5" t="s">
        <v>836</v>
      </c>
      <c r="B53" s="5">
        <f>B51*B37</f>
        <v>1.0499999999999998</v>
      </c>
      <c r="C53" s="5" t="s">
        <v>33</v>
      </c>
      <c r="D53" s="5" t="s">
        <v>620</v>
      </c>
      <c r="E53" s="5">
        <f>ROUND(E51/$F$9,0)</f>
        <v>5496</v>
      </c>
      <c r="F53" s="5"/>
      <c r="H53" s="5" t="s">
        <v>837</v>
      </c>
      <c r="I53" s="5">
        <v>14</v>
      </c>
      <c r="J53" s="5"/>
      <c r="L53" s="5" t="s">
        <v>838</v>
      </c>
      <c r="M53" s="5">
        <f>M48*$C$10*10^-2</f>
        <v>3.4</v>
      </c>
      <c r="N53" s="5" t="s">
        <v>23</v>
      </c>
      <c r="O53" s="5" t="s">
        <v>695</v>
      </c>
      <c r="P53" s="5">
        <f>SUM(P48:P52)*P27</f>
        <v>18.585000000000001</v>
      </c>
      <c r="Q53" s="11" t="s">
        <v>33</v>
      </c>
      <c r="R53" s="9" t="s">
        <v>839</v>
      </c>
      <c r="S53" s="5">
        <f t="shared" ref="S53:S58" si="6">S47*$C$10*10^-2</f>
        <v>1.6500000000000001</v>
      </c>
      <c r="T53" s="5" t="s">
        <v>23</v>
      </c>
      <c r="V53" s="5" t="s">
        <v>281</v>
      </c>
      <c r="W53" s="5">
        <f>W52*$F$12</f>
        <v>3826.3387499999999</v>
      </c>
      <c r="X53" s="5" t="s">
        <v>119</v>
      </c>
      <c r="AH53" s="5" t="s">
        <v>158</v>
      </c>
      <c r="AI53" s="5">
        <f>(AI52*50)*10^-2</f>
        <v>0.4</v>
      </c>
      <c r="AJ53" s="5" t="s">
        <v>23</v>
      </c>
      <c r="AL53" s="27" t="s">
        <v>840</v>
      </c>
      <c r="AM53" s="5">
        <v>1</v>
      </c>
      <c r="AN53" s="5" t="s">
        <v>8</v>
      </c>
      <c r="AP53" s="1" t="s">
        <v>66</v>
      </c>
      <c r="AQ53" s="4"/>
      <c r="AR53" s="2"/>
      <c r="AT53" s="5" t="s">
        <v>841</v>
      </c>
      <c r="AU53" s="5">
        <f>SUM(AU41:AU49)+AU52</f>
        <v>27.500000000000007</v>
      </c>
      <c r="AV53" s="5" t="s">
        <v>23</v>
      </c>
      <c r="AX53" s="43"/>
      <c r="AY53" s="5" t="s">
        <v>842</v>
      </c>
      <c r="AZ53" s="5">
        <v>2</v>
      </c>
      <c r="BA53" s="5"/>
      <c r="BH53" s="5" t="s">
        <v>843</v>
      </c>
      <c r="BI53" s="5">
        <f>(BI27*BI52)/BI26</f>
        <v>2.6333333333333337</v>
      </c>
      <c r="BJ53" s="5" t="s">
        <v>23</v>
      </c>
      <c r="BQ53" s="58" t="s">
        <v>550</v>
      </c>
      <c r="BR53" t="s">
        <v>539</v>
      </c>
      <c r="BS53" s="69">
        <f>BD45</f>
        <v>1.7933000000000001</v>
      </c>
      <c r="BT53" t="s">
        <v>21</v>
      </c>
      <c r="BU53" s="69">
        <f t="shared" si="5"/>
        <v>8.9068636871955133E-3</v>
      </c>
      <c r="CC53" s="36" t="s">
        <v>404</v>
      </c>
      <c r="CD53" s="36">
        <v>60</v>
      </c>
      <c r="CE53">
        <f>$CK$18/CD53</f>
        <v>1.3</v>
      </c>
      <c r="CF53">
        <v>1</v>
      </c>
      <c r="CG53">
        <f t="shared" si="1"/>
        <v>1.3833333333333333</v>
      </c>
      <c r="CH53">
        <v>1</v>
      </c>
      <c r="CR53" s="5" t="s">
        <v>597</v>
      </c>
      <c r="CS53" s="5">
        <f>SUM(CS32:CS52)</f>
        <v>28.650000000000009</v>
      </c>
      <c r="CT53" s="5" t="s">
        <v>23</v>
      </c>
    </row>
    <row r="54" spans="1:98" x14ac:dyDescent="0.25">
      <c r="A54" s="40" t="s">
        <v>606</v>
      </c>
      <c r="D54" s="14" t="s">
        <v>513</v>
      </c>
      <c r="E54" s="5">
        <f>E53*$F$11</f>
        <v>13740</v>
      </c>
      <c r="F54" s="5" t="s">
        <v>119</v>
      </c>
      <c r="H54" s="9" t="s">
        <v>844</v>
      </c>
      <c r="I54" s="9">
        <f>I52*I44*I42</f>
        <v>7.6499999999999999E-2</v>
      </c>
      <c r="J54" s="9" t="s">
        <v>21</v>
      </c>
      <c r="L54" s="5" t="s">
        <v>730</v>
      </c>
      <c r="M54" s="5">
        <f>M49*$C$10*10^-2</f>
        <v>3.2</v>
      </c>
      <c r="N54" s="5" t="s">
        <v>23</v>
      </c>
      <c r="O54" s="9" t="s">
        <v>845</v>
      </c>
      <c r="R54" s="36"/>
      <c r="S54" s="5">
        <f t="shared" si="6"/>
        <v>0.5</v>
      </c>
      <c r="T54" s="5" t="s">
        <v>23</v>
      </c>
      <c r="AH54" s="5" t="s">
        <v>124</v>
      </c>
      <c r="AI54" s="5">
        <v>1</v>
      </c>
      <c r="AJ54" s="5" t="s">
        <v>8</v>
      </c>
      <c r="AL54" s="5" t="s">
        <v>846</v>
      </c>
      <c r="AM54" s="5">
        <f>(AM53*50)*10^-2</f>
        <v>0.5</v>
      </c>
      <c r="AN54" s="5" t="s">
        <v>23</v>
      </c>
      <c r="AP54" s="6" t="s">
        <v>76</v>
      </c>
      <c r="AQ54" s="4"/>
      <c r="AR54" s="2"/>
      <c r="AT54" s="5" t="s">
        <v>847</v>
      </c>
      <c r="AU54" s="5">
        <f>PI()*((AU28/2)^2)</f>
        <v>6.604326762211169E-3</v>
      </c>
      <c r="AV54" s="5" t="s">
        <v>33</v>
      </c>
      <c r="AX54" s="43"/>
      <c r="AY54" s="5" t="s">
        <v>680</v>
      </c>
      <c r="AZ54" s="5">
        <f>AZ52*AZ53</f>
        <v>52.325000000000003</v>
      </c>
      <c r="BA54" s="5" t="s">
        <v>33</v>
      </c>
      <c r="BC54" s="21" t="s">
        <v>554</v>
      </c>
      <c r="BD54" s="4"/>
      <c r="BE54" s="2"/>
      <c r="BH54" s="5" t="s">
        <v>848</v>
      </c>
      <c r="BI54" s="5">
        <v>0.9</v>
      </c>
      <c r="BJ54" s="5" t="s">
        <v>8</v>
      </c>
      <c r="BQ54" s="58" t="s">
        <v>551</v>
      </c>
      <c r="BR54" t="s">
        <v>539</v>
      </c>
      <c r="BS54" s="69">
        <f>BD44</f>
        <v>2.6899500000000001</v>
      </c>
      <c r="BT54" t="s">
        <v>21</v>
      </c>
      <c r="BU54" s="69">
        <f t="shared" si="5"/>
        <v>1.336029553079327E-2</v>
      </c>
      <c r="CC54" s="5" t="s">
        <v>412</v>
      </c>
      <c r="CD54" s="5">
        <v>80</v>
      </c>
      <c r="CE54">
        <f t="shared" si="0"/>
        <v>1.5625</v>
      </c>
      <c r="CG54">
        <f t="shared" si="1"/>
        <v>1.0375000000000001</v>
      </c>
    </row>
    <row r="55" spans="1:98" x14ac:dyDescent="0.25">
      <c r="A55" s="5" t="s">
        <v>651</v>
      </c>
      <c r="B55" s="5">
        <v>4.7</v>
      </c>
      <c r="C55" s="5" t="s">
        <v>8</v>
      </c>
      <c r="D55" s="5" t="s">
        <v>128</v>
      </c>
      <c r="E55" s="5">
        <f>E53*($F$9-$F$8)</f>
        <v>16.048319999999993</v>
      </c>
      <c r="F55" s="5" t="s">
        <v>33</v>
      </c>
      <c r="H55" s="5" t="s">
        <v>849</v>
      </c>
      <c r="I55" s="5">
        <f>I54*I53</f>
        <v>1.071</v>
      </c>
      <c r="J55" s="5" t="s">
        <v>21</v>
      </c>
      <c r="L55" s="5" t="s">
        <v>850</v>
      </c>
      <c r="M55" s="5">
        <f>M50*$M$28</f>
        <v>11.357500000000002</v>
      </c>
      <c r="N55" s="5" t="s">
        <v>33</v>
      </c>
      <c r="O55" s="36"/>
      <c r="P55" s="2">
        <v>2.7</v>
      </c>
      <c r="Q55" s="11" t="s">
        <v>8</v>
      </c>
      <c r="R55" s="36"/>
      <c r="S55" s="5">
        <f t="shared" si="6"/>
        <v>1.35</v>
      </c>
      <c r="T55" s="5" t="s">
        <v>23</v>
      </c>
      <c r="AH55" s="5" t="s">
        <v>147</v>
      </c>
      <c r="AI55" s="5">
        <f>(AI54*50)*10^-2</f>
        <v>0.5</v>
      </c>
      <c r="AJ55" s="5" t="s">
        <v>23</v>
      </c>
      <c r="AL55" s="14" t="s">
        <v>851</v>
      </c>
      <c r="AM55" s="14">
        <f>AM54*AM29*AM30</f>
        <v>1.2750000000000001E-2</v>
      </c>
      <c r="AN55" s="14" t="s">
        <v>21</v>
      </c>
      <c r="AP55" s="5" t="s">
        <v>89</v>
      </c>
      <c r="AQ55" s="5">
        <v>0.03</v>
      </c>
      <c r="AR55" s="5" t="s">
        <v>23</v>
      </c>
      <c r="AT55" s="5" t="s">
        <v>852</v>
      </c>
      <c r="AU55" s="5">
        <f>PI()*(((AU28-(AU30*2))/2)^2)</f>
        <v>4.8521584375429E-3</v>
      </c>
      <c r="AV55" s="5" t="s">
        <v>33</v>
      </c>
      <c r="AX55" s="43"/>
      <c r="AY55" s="5" t="s">
        <v>620</v>
      </c>
      <c r="AZ55" s="5">
        <f>ROUND(AZ54/$F$9,0)</f>
        <v>3435</v>
      </c>
      <c r="BA55" s="5"/>
      <c r="BC55" s="14" t="s">
        <v>205</v>
      </c>
      <c r="BD55" s="5">
        <f>AA44</f>
        <v>0.71873992665146358</v>
      </c>
      <c r="BE55" s="5" t="s">
        <v>21</v>
      </c>
      <c r="BH55" s="5" t="s">
        <v>853</v>
      </c>
      <c r="BI55" s="5">
        <f>(BI27*BI54)/BI26</f>
        <v>0.91153846153846163</v>
      </c>
      <c r="BJ55" s="5" t="s">
        <v>23</v>
      </c>
      <c r="BQ55" s="58" t="s">
        <v>155</v>
      </c>
      <c r="BR55" t="s">
        <v>552</v>
      </c>
      <c r="BS55" s="69">
        <f>BD41</f>
        <v>245.018125</v>
      </c>
      <c r="BT55" t="s">
        <v>119</v>
      </c>
      <c r="BU55" s="69">
        <f t="shared" si="5"/>
        <v>1.2169425306793236</v>
      </c>
      <c r="CC55" s="5" t="s">
        <v>854</v>
      </c>
      <c r="CD55" s="5">
        <v>50</v>
      </c>
      <c r="CE55">
        <f>$CK$17/CD55</f>
        <v>0.94</v>
      </c>
      <c r="CF55">
        <v>1</v>
      </c>
      <c r="CG55">
        <f t="shared" si="1"/>
        <v>1.66</v>
      </c>
    </row>
    <row r="56" spans="1:98" x14ac:dyDescent="0.25">
      <c r="A56" s="5" t="s">
        <v>673</v>
      </c>
      <c r="B56" s="5">
        <v>2.4</v>
      </c>
      <c r="C56" s="5" t="s">
        <v>8</v>
      </c>
      <c r="D56" s="5" t="s">
        <v>138</v>
      </c>
      <c r="E56" s="5">
        <f>E55*(($F$4)*10^-2)</f>
        <v>1.7332185599999994</v>
      </c>
      <c r="F56" s="5" t="s">
        <v>21</v>
      </c>
      <c r="L56" s="5" t="s">
        <v>855</v>
      </c>
      <c r="M56" s="5">
        <f>M51*$M$28</f>
        <v>11.357500000000002</v>
      </c>
      <c r="N56" s="5" t="s">
        <v>33</v>
      </c>
      <c r="O56" s="36"/>
      <c r="P56" s="2">
        <v>0.9</v>
      </c>
      <c r="Q56" s="11" t="s">
        <v>8</v>
      </c>
      <c r="R56" s="36"/>
      <c r="S56" s="5">
        <f t="shared" si="6"/>
        <v>0.5</v>
      </c>
      <c r="T56" s="5" t="s">
        <v>23</v>
      </c>
      <c r="AH56" s="5" t="s">
        <v>856</v>
      </c>
      <c r="AI56" s="5">
        <f>AI33</f>
        <v>7.7910000000000004</v>
      </c>
      <c r="AJ56" s="5" t="s">
        <v>23</v>
      </c>
      <c r="AL56" s="27" t="s">
        <v>857</v>
      </c>
      <c r="AM56" s="5">
        <v>1.9</v>
      </c>
      <c r="AN56" s="5" t="s">
        <v>8</v>
      </c>
      <c r="AP56" s="5" t="s">
        <v>7</v>
      </c>
      <c r="AQ56" s="5">
        <f>B12</f>
        <v>7.9</v>
      </c>
      <c r="AR56" s="5" t="s">
        <v>23</v>
      </c>
      <c r="AT56" s="9" t="s">
        <v>858</v>
      </c>
      <c r="AU56" s="9">
        <f>(AU54-AU55)*AU53</f>
        <v>4.818462892837741E-2</v>
      </c>
      <c r="AV56" s="9" t="s">
        <v>21</v>
      </c>
      <c r="AX56" s="43"/>
      <c r="AY56" s="14" t="s">
        <v>513</v>
      </c>
      <c r="AZ56" s="5">
        <f>AZ55*$F$11</f>
        <v>8587.5</v>
      </c>
      <c r="BA56" s="5" t="s">
        <v>119</v>
      </c>
      <c r="BH56" s="5" t="s">
        <v>859</v>
      </c>
      <c r="BI56" s="5">
        <v>5.8</v>
      </c>
      <c r="BJ56" s="5" t="s">
        <v>8</v>
      </c>
      <c r="BQ56" s="58" t="s">
        <v>860</v>
      </c>
      <c r="BR56" t="s">
        <v>861</v>
      </c>
      <c r="BS56" s="69">
        <f>BD49</f>
        <v>26.8995</v>
      </c>
      <c r="BT56" t="s">
        <v>119</v>
      </c>
      <c r="BU56" s="69">
        <f t="shared" si="5"/>
        <v>0.1336029553079327</v>
      </c>
      <c r="CC56" s="5" t="s">
        <v>429</v>
      </c>
      <c r="CD56" s="5">
        <v>50</v>
      </c>
      <c r="CE56">
        <f t="shared" si="0"/>
        <v>2.5</v>
      </c>
      <c r="CG56">
        <f t="shared" si="1"/>
        <v>1.66</v>
      </c>
    </row>
    <row r="57" spans="1:98" x14ac:dyDescent="0.25">
      <c r="A57" s="5" t="s">
        <v>13</v>
      </c>
      <c r="B57" s="5">
        <f>B55*$C$10*10^-2</f>
        <v>2.35</v>
      </c>
      <c r="C57" s="5" t="s">
        <v>23</v>
      </c>
      <c r="D57" s="14" t="s">
        <v>150</v>
      </c>
      <c r="E57" s="5">
        <f>E56*$F$12</f>
        <v>2946.4715519999991</v>
      </c>
      <c r="F57" s="5" t="s">
        <v>119</v>
      </c>
      <c r="H57" s="27" t="s">
        <v>393</v>
      </c>
      <c r="I57" s="5"/>
      <c r="J57" s="5"/>
      <c r="L57" s="5" t="s">
        <v>862</v>
      </c>
      <c r="M57" s="5">
        <f>M52*$M$28</f>
        <v>7.5225</v>
      </c>
      <c r="N57" s="5" t="s">
        <v>33</v>
      </c>
      <c r="O57" s="36"/>
      <c r="P57" s="2">
        <v>2.8</v>
      </c>
      <c r="Q57" s="11" t="s">
        <v>8</v>
      </c>
      <c r="R57" s="36"/>
      <c r="S57" s="5">
        <f t="shared" si="6"/>
        <v>0.3</v>
      </c>
      <c r="T57" s="5" t="s">
        <v>23</v>
      </c>
      <c r="AH57" s="5" t="s">
        <v>863</v>
      </c>
      <c r="AI57" s="5">
        <f>AI56*AI53</f>
        <v>3.1164000000000005</v>
      </c>
      <c r="AJ57" s="5" t="s">
        <v>33</v>
      </c>
      <c r="AL57" s="5" t="s">
        <v>864</v>
      </c>
      <c r="AM57" s="5">
        <f>(AM56*50)*10^-2</f>
        <v>0.95000000000000007</v>
      </c>
      <c r="AN57" s="5" t="s">
        <v>23</v>
      </c>
      <c r="AP57" s="5" t="s">
        <v>54</v>
      </c>
      <c r="AQ57" s="5">
        <f>B11</f>
        <v>11.35</v>
      </c>
      <c r="AR57" s="5" t="s">
        <v>23</v>
      </c>
      <c r="AT57" s="36" t="s">
        <v>865</v>
      </c>
      <c r="AU57">
        <f>AU56*AU73</f>
        <v>343.70095814611608</v>
      </c>
      <c r="AV57" s="36" t="s">
        <v>119</v>
      </c>
      <c r="AX57" s="43"/>
      <c r="AY57" s="5" t="s">
        <v>128</v>
      </c>
      <c r="AZ57" s="5">
        <f>AZ55*($F$9-$F$8)</f>
        <v>10.030199999999997</v>
      </c>
      <c r="BA57" s="5" t="s">
        <v>33</v>
      </c>
      <c r="BC57" s="21" t="s">
        <v>866</v>
      </c>
      <c r="BD57" s="4"/>
      <c r="BE57" s="2"/>
      <c r="BH57" s="5" t="s">
        <v>867</v>
      </c>
      <c r="BI57" s="5">
        <f>(BI27*BI56)/BI26</f>
        <v>5.8743589743589748</v>
      </c>
      <c r="BJ57" s="5" t="s">
        <v>23</v>
      </c>
      <c r="BQ57" s="58" t="s">
        <v>868</v>
      </c>
      <c r="BR57" t="s">
        <v>538</v>
      </c>
      <c r="BS57">
        <f>BD52</f>
        <v>2286.4575</v>
      </c>
      <c r="BT57" t="s">
        <v>119</v>
      </c>
      <c r="BU57" s="69">
        <f t="shared" si="5"/>
        <v>11.356251201174279</v>
      </c>
      <c r="CC57" s="5" t="s">
        <v>434</v>
      </c>
      <c r="CD57" s="5">
        <v>25</v>
      </c>
      <c r="CE57">
        <f t="shared" si="0"/>
        <v>5</v>
      </c>
      <c r="CG57">
        <f t="shared" si="1"/>
        <v>3.32</v>
      </c>
    </row>
    <row r="58" spans="1:98" x14ac:dyDescent="0.25">
      <c r="A58" s="5" t="s">
        <v>420</v>
      </c>
      <c r="B58" s="5">
        <f>B56*$C$10*10^-2</f>
        <v>1.2</v>
      </c>
      <c r="C58" s="5" t="s">
        <v>23</v>
      </c>
      <c r="D58" s="48" t="s">
        <v>242</v>
      </c>
      <c r="F58" s="44"/>
      <c r="H58" s="5" t="s">
        <v>400</v>
      </c>
      <c r="I58" s="5">
        <f>'[1]Typehus O1890'!P52</f>
        <v>0.112344</v>
      </c>
      <c r="J58" s="5" t="s">
        <v>23</v>
      </c>
      <c r="L58" s="5" t="s">
        <v>869</v>
      </c>
      <c r="M58" s="5">
        <f>M53*$M$28</f>
        <v>10.030000000000001</v>
      </c>
      <c r="N58" s="5" t="s">
        <v>33</v>
      </c>
      <c r="O58" s="36"/>
      <c r="P58" s="2">
        <v>0.9</v>
      </c>
      <c r="Q58" s="11" t="s">
        <v>8</v>
      </c>
      <c r="R58" s="7"/>
      <c r="S58" s="5">
        <f t="shared" si="6"/>
        <v>2.5</v>
      </c>
      <c r="T58" s="5" t="s">
        <v>23</v>
      </c>
      <c r="AH58" s="5" t="s">
        <v>870</v>
      </c>
      <c r="AI58" s="5">
        <f>AI56*AI55</f>
        <v>3.8955000000000002</v>
      </c>
      <c r="AJ58" s="5" t="s">
        <v>33</v>
      </c>
      <c r="AL58" s="14" t="s">
        <v>871</v>
      </c>
      <c r="AM58" s="14">
        <f>AM57*AM29*AM30</f>
        <v>2.4225000000000003E-2</v>
      </c>
      <c r="AN58" s="14" t="s">
        <v>21</v>
      </c>
      <c r="AP58" s="5" t="s">
        <v>125</v>
      </c>
      <c r="AQ58" s="5">
        <f>AQ57*AQ56</f>
        <v>89.665000000000006</v>
      </c>
      <c r="AR58" s="5" t="s">
        <v>33</v>
      </c>
      <c r="AT58" s="36" t="s">
        <v>872</v>
      </c>
      <c r="AU58">
        <f>AU57/2</f>
        <v>171.85047907305804</v>
      </c>
      <c r="AV58" s="36" t="s">
        <v>119</v>
      </c>
      <c r="AX58" s="43"/>
      <c r="AY58" s="5" t="s">
        <v>138</v>
      </c>
      <c r="AZ58" s="5">
        <f>AZ57*(($F$4)*10^-2)</f>
        <v>1.0832615999999997</v>
      </c>
      <c r="BA58" s="5" t="s">
        <v>21</v>
      </c>
      <c r="BC58" s="5" t="s">
        <v>873</v>
      </c>
      <c r="BD58" s="5">
        <f>B28*2</f>
        <v>6.5</v>
      </c>
      <c r="BE58" s="5" t="s">
        <v>23</v>
      </c>
      <c r="BH58" s="5" t="s">
        <v>874</v>
      </c>
      <c r="BI58" s="5">
        <v>3.3</v>
      </c>
      <c r="BJ58" s="5" t="s">
        <v>8</v>
      </c>
      <c r="CC58" s="5" t="s">
        <v>439</v>
      </c>
      <c r="CD58" s="5">
        <v>60</v>
      </c>
      <c r="CE58">
        <f t="shared" si="0"/>
        <v>2.0833333333333335</v>
      </c>
      <c r="CF58">
        <v>2</v>
      </c>
      <c r="CG58">
        <f>$CK$9/CD58</f>
        <v>1.1666666666666667</v>
      </c>
      <c r="CH58">
        <v>1</v>
      </c>
    </row>
    <row r="59" spans="1:98" x14ac:dyDescent="0.25">
      <c r="A59" s="5" t="s">
        <v>188</v>
      </c>
      <c r="B59" s="5">
        <f>B57*B58</f>
        <v>2.82</v>
      </c>
      <c r="C59" s="11" t="s">
        <v>33</v>
      </c>
      <c r="D59" s="14" t="s">
        <v>875</v>
      </c>
      <c r="E59" s="5">
        <f>B69+E39+E54</f>
        <v>24092.5</v>
      </c>
      <c r="F59" s="5" t="s">
        <v>119</v>
      </c>
      <c r="H59" s="5" t="s">
        <v>406</v>
      </c>
      <c r="I59" s="5">
        <f>I46/I58</f>
        <v>49.887116949207233</v>
      </c>
      <c r="J59" s="5"/>
      <c r="L59" s="5" t="s">
        <v>876</v>
      </c>
      <c r="M59" s="5">
        <f>M54*$M$28</f>
        <v>9.4400000000000013</v>
      </c>
      <c r="N59" s="5" t="s">
        <v>33</v>
      </c>
      <c r="O59" s="36"/>
      <c r="P59" s="2">
        <v>2.1</v>
      </c>
      <c r="Q59" s="5" t="s">
        <v>8</v>
      </c>
      <c r="R59" s="5" t="s">
        <v>695</v>
      </c>
      <c r="S59" s="5">
        <f>SUM(S53:S58)*P27</f>
        <v>14.28</v>
      </c>
      <c r="T59" s="5" t="s">
        <v>33</v>
      </c>
      <c r="Z59" s="48"/>
      <c r="AH59" s="5" t="s">
        <v>877</v>
      </c>
      <c r="AI59" s="5">
        <f>(AI58*2)+(AI57*2)</f>
        <v>14.023800000000001</v>
      </c>
      <c r="AJ59" s="5" t="s">
        <v>33</v>
      </c>
      <c r="AL59" s="5" t="s">
        <v>878</v>
      </c>
      <c r="AM59" s="5">
        <v>2.9</v>
      </c>
      <c r="AN59" s="5" t="s">
        <v>8</v>
      </c>
      <c r="AP59" s="5" t="s">
        <v>133</v>
      </c>
      <c r="AQ59" s="5">
        <v>2</v>
      </c>
      <c r="AR59" s="5"/>
      <c r="AT59" s="6" t="s">
        <v>565</v>
      </c>
      <c r="AU59" s="4"/>
      <c r="AV59" s="2"/>
      <c r="AX59" s="43"/>
      <c r="AY59" s="14" t="s">
        <v>150</v>
      </c>
      <c r="AZ59" s="5">
        <f>AZ58*$F$12</f>
        <v>1841.5447199999994</v>
      </c>
      <c r="BA59" s="5" t="s">
        <v>119</v>
      </c>
      <c r="BC59" s="5" t="s">
        <v>879</v>
      </c>
      <c r="BD59" s="5">
        <f>I33+BD58+AI31</f>
        <v>10.8</v>
      </c>
      <c r="BE59" s="5" t="s">
        <v>23</v>
      </c>
      <c r="BH59" s="5" t="s">
        <v>880</v>
      </c>
      <c r="BI59" s="5">
        <f>(BI27*BI58)/BI26</f>
        <v>3.3423076923076924</v>
      </c>
      <c r="BJ59" s="5" t="s">
        <v>23</v>
      </c>
      <c r="CC59" s="5" t="s">
        <v>446</v>
      </c>
      <c r="CD59" s="5">
        <v>30</v>
      </c>
      <c r="CE59">
        <f>$CK$13/CD59</f>
        <v>1.5666666666666667</v>
      </c>
      <c r="CG59">
        <f>$CK$9/CD59</f>
        <v>2.3333333333333335</v>
      </c>
    </row>
    <row r="60" spans="1:98" x14ac:dyDescent="0.25">
      <c r="A60" s="40" t="s">
        <v>881</v>
      </c>
      <c r="D60" s="14" t="s">
        <v>882</v>
      </c>
      <c r="E60" s="5">
        <f>B72+E42+E57</f>
        <v>5166.5113439999986</v>
      </c>
      <c r="F60" s="5" t="s">
        <v>119</v>
      </c>
      <c r="H60" s="5" t="s">
        <v>406</v>
      </c>
      <c r="I60" s="5">
        <v>50</v>
      </c>
      <c r="J60" s="5" t="s">
        <v>407</v>
      </c>
      <c r="L60" s="5" t="s">
        <v>298</v>
      </c>
      <c r="M60" s="5">
        <f>M55+M56+M57+M58+M59</f>
        <v>49.70750000000001</v>
      </c>
      <c r="N60" s="5" t="s">
        <v>33</v>
      </c>
      <c r="O60" s="7"/>
      <c r="P60" s="2">
        <v>6</v>
      </c>
      <c r="Q60" s="5" t="s">
        <v>8</v>
      </c>
      <c r="R60" s="48" t="s">
        <v>883</v>
      </c>
      <c r="AH60" s="5" t="s">
        <v>884</v>
      </c>
      <c r="AI60" s="5">
        <f>AE41</f>
        <v>1.5232000000000001E-2</v>
      </c>
      <c r="AJ60" s="5" t="s">
        <v>21</v>
      </c>
      <c r="AL60" s="5" t="s">
        <v>885</v>
      </c>
      <c r="AM60" s="5">
        <f>(AM59*50)*10^-2</f>
        <v>1.45</v>
      </c>
      <c r="AN60" s="5" t="s">
        <v>23</v>
      </c>
      <c r="AP60" s="5" t="s">
        <v>145</v>
      </c>
      <c r="AQ60" s="5">
        <f>AQ58*AQ59</f>
        <v>179.33</v>
      </c>
      <c r="AR60" s="5" t="s">
        <v>33</v>
      </c>
      <c r="AT60" s="9" t="s">
        <v>7</v>
      </c>
      <c r="AU60" s="7">
        <v>6</v>
      </c>
      <c r="AV60" s="7" t="s">
        <v>622</v>
      </c>
      <c r="AX60" s="43"/>
      <c r="AY60" s="40" t="s">
        <v>242</v>
      </c>
      <c r="BA60" s="44"/>
      <c r="BC60" s="5" t="s">
        <v>886</v>
      </c>
      <c r="BD60" s="5">
        <f>BD59*AI30*4</f>
        <v>21.6</v>
      </c>
      <c r="BE60" s="5" t="s">
        <v>33</v>
      </c>
      <c r="BQ60" s="59" t="str">
        <f>A147</f>
        <v>Roof</v>
      </c>
      <c r="BR60" s="59"/>
      <c r="BS60" s="59"/>
      <c r="BT60" s="59"/>
      <c r="BU60" s="59"/>
      <c r="BV60" s="59"/>
      <c r="CC60" s="5" t="s">
        <v>451</v>
      </c>
      <c r="CD60" s="5">
        <v>60</v>
      </c>
      <c r="CE60">
        <f>$CK$5/CD60</f>
        <v>2.0833333333333335</v>
      </c>
      <c r="CF60">
        <v>2</v>
      </c>
      <c r="CG60">
        <f>$CK$13/CD60</f>
        <v>0.78333333333333333</v>
      </c>
      <c r="CH60">
        <v>0</v>
      </c>
    </row>
    <row r="61" spans="1:98" x14ac:dyDescent="0.25">
      <c r="A61" s="5" t="s">
        <v>651</v>
      </c>
      <c r="B61" s="5">
        <v>5</v>
      </c>
      <c r="C61" s="11" t="s">
        <v>8</v>
      </c>
      <c r="D61" s="5" t="s">
        <v>887</v>
      </c>
      <c r="E61" s="5">
        <f>B52+E28</f>
        <v>8.1900000000000013</v>
      </c>
      <c r="F61" s="5" t="s">
        <v>33</v>
      </c>
      <c r="H61" s="5" t="s">
        <v>415</v>
      </c>
      <c r="I61" s="5">
        <f>I60*2</f>
        <v>100</v>
      </c>
      <c r="J61" s="5" t="s">
        <v>407</v>
      </c>
      <c r="L61" s="6" t="s">
        <v>888</v>
      </c>
      <c r="M61" s="4"/>
      <c r="N61" s="4"/>
      <c r="O61" s="9" t="s">
        <v>839</v>
      </c>
      <c r="R61" s="5" t="s">
        <v>889</v>
      </c>
      <c r="S61" s="5">
        <v>3.4</v>
      </c>
      <c r="T61" s="5" t="s">
        <v>8</v>
      </c>
      <c r="AH61" s="5" t="s">
        <v>890</v>
      </c>
      <c r="AI61" s="5">
        <f>AI59/AI60</f>
        <v>920.68014705882354</v>
      </c>
      <c r="AJ61" s="5" t="s">
        <v>260</v>
      </c>
      <c r="AL61" s="14" t="s">
        <v>891</v>
      </c>
      <c r="AM61" s="14">
        <f>AM60*AM31*AM31</f>
        <v>1.4499999999999999E-2</v>
      </c>
      <c r="AN61" s="14" t="s">
        <v>21</v>
      </c>
      <c r="AP61" s="5" t="s">
        <v>156</v>
      </c>
      <c r="AQ61" s="5">
        <f>AQ60*AQ55</f>
        <v>5.3799000000000001</v>
      </c>
      <c r="AR61" s="5" t="s">
        <v>21</v>
      </c>
      <c r="AT61" s="36"/>
      <c r="AU61" s="5">
        <f>AU60*2.62*10^-2</f>
        <v>0.15720000000000001</v>
      </c>
      <c r="AV61" s="5" t="s">
        <v>23</v>
      </c>
      <c r="AX61" s="43"/>
      <c r="AY61" s="14" t="s">
        <v>513</v>
      </c>
      <c r="AZ61" s="5">
        <f>AZ35+AZ47+AZ56</f>
        <v>20760</v>
      </c>
      <c r="BA61" s="5" t="s">
        <v>119</v>
      </c>
      <c r="BC61" s="5" t="s">
        <v>892</v>
      </c>
      <c r="BD61" s="5">
        <f>BD60-AI35</f>
        <v>6.0180000000000007</v>
      </c>
      <c r="BE61" s="5" t="s">
        <v>33</v>
      </c>
      <c r="BH61" t="s">
        <v>893</v>
      </c>
      <c r="BI61">
        <f>BI59+BI57+BI55+BI53+BI51+BI49+BI47+BI45+BI43+BI41+BI39+BI37+BI35+BI33+BI31+BI29</f>
        <v>42.335897435897436</v>
      </c>
      <c r="BJ61" t="s">
        <v>23</v>
      </c>
      <c r="BQ61" s="58" t="str">
        <f>A148</f>
        <v>Trusses</v>
      </c>
      <c r="BR61" t="str">
        <f t="shared" ref="BR61:BU62" si="7">B148</f>
        <v>Wood</v>
      </c>
      <c r="BS61">
        <f t="shared" si="7"/>
        <v>24.008183750000001</v>
      </c>
      <c r="BT61" t="str">
        <f t="shared" si="7"/>
        <v>m3</v>
      </c>
      <c r="BU61">
        <f t="shared" si="7"/>
        <v>1.5534878472924334E-3</v>
      </c>
      <c r="CC61" s="5" t="s">
        <v>458</v>
      </c>
      <c r="CD61" s="5">
        <v>40</v>
      </c>
      <c r="CE61">
        <f>(CK12-CK3)/CD61</f>
        <v>1.95</v>
      </c>
      <c r="CF61">
        <v>1</v>
      </c>
      <c r="CG61">
        <f>(CK12-CK3)/CD61</f>
        <v>1.95</v>
      </c>
      <c r="CH61">
        <v>1</v>
      </c>
    </row>
    <row r="62" spans="1:98" x14ac:dyDescent="0.25">
      <c r="A62" s="5" t="s">
        <v>673</v>
      </c>
      <c r="B62" s="5">
        <v>4.3</v>
      </c>
      <c r="C62" s="11" t="s">
        <v>8</v>
      </c>
      <c r="D62" s="50" t="s">
        <v>295</v>
      </c>
      <c r="E62">
        <f>E61*F15*F16</f>
        <v>85.176000000000002</v>
      </c>
      <c r="F62" s="44" t="s">
        <v>119</v>
      </c>
      <c r="H62" s="57" t="s">
        <v>423</v>
      </c>
      <c r="I62" s="9"/>
      <c r="J62" s="9"/>
      <c r="L62" s="5" t="s">
        <v>889</v>
      </c>
      <c r="M62" s="5">
        <v>4.0999999999999996</v>
      </c>
      <c r="N62" s="5" t="s">
        <v>8</v>
      </c>
      <c r="O62" s="36"/>
      <c r="P62" s="2">
        <f t="shared" ref="P62:P67" si="8">P55*$C$10*10^-2</f>
        <v>1.35</v>
      </c>
      <c r="Q62" s="11" t="s">
        <v>23</v>
      </c>
      <c r="R62" s="5" t="s">
        <v>894</v>
      </c>
      <c r="S62" s="5">
        <v>1.4</v>
      </c>
      <c r="T62" s="5" t="s">
        <v>8</v>
      </c>
      <c r="AH62" s="14" t="s">
        <v>513</v>
      </c>
      <c r="AI62" s="14">
        <f>AI61*F11</f>
        <v>2301.700367647059</v>
      </c>
      <c r="AJ62" s="14" t="s">
        <v>119</v>
      </c>
      <c r="AL62" s="5" t="s">
        <v>895</v>
      </c>
      <c r="AM62" s="5">
        <f>1.1</f>
        <v>1.1000000000000001</v>
      </c>
      <c r="AN62" s="5" t="s">
        <v>8</v>
      </c>
      <c r="AP62" s="6" t="s">
        <v>166</v>
      </c>
      <c r="AQ62" s="4"/>
      <c r="AR62" s="2"/>
      <c r="AT62" s="9" t="s">
        <v>896</v>
      </c>
      <c r="AU62" s="5">
        <f>(3.5+4)/2</f>
        <v>3.75</v>
      </c>
      <c r="AV62" s="5" t="s">
        <v>622</v>
      </c>
      <c r="AX62" s="43"/>
      <c r="AY62" s="14" t="s">
        <v>150</v>
      </c>
      <c r="AZ62" s="5">
        <f>AZ38+AZ50+AZ59</f>
        <v>4451.8740479999988</v>
      </c>
      <c r="BA62" s="5" t="s">
        <v>119</v>
      </c>
      <c r="BC62" s="5" t="s">
        <v>620</v>
      </c>
      <c r="BD62" s="5">
        <f>ROUND(BD61/$F$9,0)</f>
        <v>395</v>
      </c>
      <c r="BE62" s="5"/>
      <c r="BH62" t="s">
        <v>112</v>
      </c>
      <c r="BI62">
        <f>M28</f>
        <v>2.95</v>
      </c>
      <c r="BJ62" t="s">
        <v>23</v>
      </c>
      <c r="BQ62" s="58" t="str">
        <f>A149</f>
        <v>Tile</v>
      </c>
      <c r="BR62" t="str">
        <f t="shared" si="7"/>
        <v>Tile</v>
      </c>
      <c r="BS62">
        <f t="shared" si="7"/>
        <v>5460.3924747993506</v>
      </c>
      <c r="BT62" t="str">
        <f t="shared" si="7"/>
        <v>kg</v>
      </c>
      <c r="BU62">
        <f t="shared" si="7"/>
        <v>0.35332341002462736</v>
      </c>
      <c r="CC62" s="5" t="s">
        <v>462</v>
      </c>
      <c r="CD62" s="5">
        <v>30</v>
      </c>
      <c r="CE62">
        <f>$CK$13/CD62</f>
        <v>1.5666666666666667</v>
      </c>
      <c r="CF62">
        <v>1</v>
      </c>
      <c r="CG62">
        <f>$CK$13/CD62</f>
        <v>1.5666666666666667</v>
      </c>
      <c r="CH62">
        <v>1</v>
      </c>
    </row>
    <row r="63" spans="1:98" x14ac:dyDescent="0.25">
      <c r="A63" s="5" t="s">
        <v>13</v>
      </c>
      <c r="B63" s="5">
        <f>B61*$C$10*10^-2</f>
        <v>2.5</v>
      </c>
      <c r="C63" s="11" t="s">
        <v>23</v>
      </c>
      <c r="D63" s="5" t="s">
        <v>897</v>
      </c>
      <c r="E63" s="5">
        <f>B53+E29</f>
        <v>1.8899999999999997</v>
      </c>
      <c r="F63" s="5" t="s">
        <v>33</v>
      </c>
      <c r="H63" s="5" t="s">
        <v>14</v>
      </c>
      <c r="I63" s="5">
        <v>7.2999999999999995E-2</v>
      </c>
      <c r="J63" s="5" t="s">
        <v>23</v>
      </c>
      <c r="L63" s="5" t="s">
        <v>898</v>
      </c>
      <c r="M63" s="5">
        <v>1.6</v>
      </c>
      <c r="N63" s="11" t="s">
        <v>8</v>
      </c>
      <c r="O63" s="36"/>
      <c r="P63" s="2">
        <f t="shared" si="8"/>
        <v>0.45</v>
      </c>
      <c r="Q63" s="11" t="s">
        <v>23</v>
      </c>
      <c r="R63" s="5" t="s">
        <v>899</v>
      </c>
      <c r="S63" s="5">
        <v>1.5</v>
      </c>
      <c r="T63" s="5" t="s">
        <v>8</v>
      </c>
      <c r="AH63" s="5" t="s">
        <v>262</v>
      </c>
      <c r="AI63" s="5">
        <f>AI61*(F9-F8)</f>
        <v>2.6883860294117636</v>
      </c>
      <c r="AJ63" s="5" t="s">
        <v>33</v>
      </c>
      <c r="AL63" s="5" t="s">
        <v>900</v>
      </c>
      <c r="AM63" s="5">
        <f>(AM62*50)*10^-2</f>
        <v>0.55000000000000004</v>
      </c>
      <c r="AN63" s="5" t="s">
        <v>23</v>
      </c>
      <c r="AP63" s="5" t="s">
        <v>420</v>
      </c>
      <c r="AQ63" s="5">
        <f>B11</f>
        <v>11.35</v>
      </c>
      <c r="AR63" s="5" t="s">
        <v>23</v>
      </c>
      <c r="AT63" s="7"/>
      <c r="AU63" s="5">
        <f>AU62*2.62*10^-2</f>
        <v>9.8250000000000018E-2</v>
      </c>
      <c r="AV63" s="5" t="s">
        <v>23</v>
      </c>
      <c r="AX63" s="43"/>
      <c r="AY63" s="14" t="s">
        <v>901</v>
      </c>
      <c r="AZ63" s="5">
        <f>(AZ30+AZ42)*$F$15*$F$16</f>
        <v>123.032</v>
      </c>
      <c r="BA63" s="5" t="s">
        <v>119</v>
      </c>
      <c r="BC63" s="14" t="s">
        <v>513</v>
      </c>
      <c r="BD63" s="5">
        <f>BD62*$F$11</f>
        <v>987.5</v>
      </c>
      <c r="BE63" s="5" t="s">
        <v>119</v>
      </c>
      <c r="BH63" t="s">
        <v>902</v>
      </c>
      <c r="BI63">
        <f>BI61*BI62</f>
        <v>124.89089743589744</v>
      </c>
      <c r="BJ63" t="s">
        <v>33</v>
      </c>
      <c r="CC63" s="5" t="s">
        <v>470</v>
      </c>
      <c r="CD63" s="5">
        <v>60</v>
      </c>
      <c r="CE63">
        <f>(CK12-CK8)/CD63</f>
        <v>1.1666666666666667</v>
      </c>
      <c r="CF63">
        <v>1</v>
      </c>
      <c r="CG63">
        <f>(CK12-CK8)/CD63</f>
        <v>1.1666666666666667</v>
      </c>
      <c r="CH63">
        <v>1</v>
      </c>
    </row>
    <row r="64" spans="1:98" x14ac:dyDescent="0.25">
      <c r="A64" s="5" t="s">
        <v>420</v>
      </c>
      <c r="B64" s="5">
        <f>B62*$C$10*10^-2</f>
        <v>2.15</v>
      </c>
      <c r="C64" s="5" t="s">
        <v>23</v>
      </c>
      <c r="D64" s="50" t="s">
        <v>903</v>
      </c>
      <c r="E64">
        <f>E63*F17</f>
        <v>3.7799999999999993E-2</v>
      </c>
      <c r="F64" s="44" t="s">
        <v>21</v>
      </c>
      <c r="H64" s="5" t="s">
        <v>303</v>
      </c>
      <c r="I64" s="5">
        <v>3.7999999999999999E-2</v>
      </c>
      <c r="J64" s="5" t="s">
        <v>23</v>
      </c>
      <c r="L64" s="5" t="s">
        <v>904</v>
      </c>
      <c r="M64" s="5">
        <v>1.3</v>
      </c>
      <c r="N64" s="11" t="s">
        <v>8</v>
      </c>
      <c r="O64" s="36"/>
      <c r="P64" s="2">
        <f t="shared" si="8"/>
        <v>1.4000000000000001</v>
      </c>
      <c r="Q64" s="11" t="s">
        <v>23</v>
      </c>
      <c r="R64" s="5" t="s">
        <v>905</v>
      </c>
      <c r="S64" s="5">
        <v>1.7</v>
      </c>
      <c r="T64" s="5" t="s">
        <v>8</v>
      </c>
      <c r="AH64" s="5" t="s">
        <v>395</v>
      </c>
      <c r="AI64" s="5">
        <f>AI63*(F4*10^-2)</f>
        <v>0.29034569117647052</v>
      </c>
      <c r="AJ64" s="5" t="s">
        <v>21</v>
      </c>
      <c r="AL64" s="14" t="s">
        <v>906</v>
      </c>
      <c r="AM64" s="14">
        <f>AM63*AM33*AM33</f>
        <v>3.4375000000000009E-4</v>
      </c>
      <c r="AN64" s="14" t="s">
        <v>21</v>
      </c>
      <c r="AP64" s="5" t="s">
        <v>7</v>
      </c>
      <c r="AQ64" s="5">
        <f>I52</f>
        <v>3.4</v>
      </c>
      <c r="AR64" s="5" t="s">
        <v>23</v>
      </c>
      <c r="AT64" s="5" t="s">
        <v>673</v>
      </c>
      <c r="AU64" s="5">
        <v>27.4</v>
      </c>
      <c r="AV64" s="5" t="s">
        <v>8</v>
      </c>
      <c r="AX64" s="43"/>
      <c r="AY64" s="5" t="s">
        <v>659</v>
      </c>
      <c r="AZ64" s="5">
        <f>(AZ31+AZ43)</f>
        <v>2.7299999999999995</v>
      </c>
      <c r="BA64" s="5" t="s">
        <v>33</v>
      </c>
      <c r="BC64" s="5" t="s">
        <v>128</v>
      </c>
      <c r="BD64" s="5">
        <f>BD62*($F$9-$F$8)</f>
        <v>1.1533999999999995</v>
      </c>
      <c r="BE64" s="5" t="s">
        <v>33</v>
      </c>
      <c r="BH64" t="s">
        <v>907</v>
      </c>
      <c r="BI64">
        <f>BI63-BM37</f>
        <v>105.37384615384616</v>
      </c>
      <c r="BJ64" t="s">
        <v>33</v>
      </c>
      <c r="BQ64" s="59" t="s">
        <v>553</v>
      </c>
      <c r="BR64" s="59"/>
      <c r="BS64" s="59"/>
      <c r="BT64" s="59"/>
      <c r="BU64" s="59"/>
      <c r="BV64" s="59"/>
      <c r="CC64" s="5" t="s">
        <v>474</v>
      </c>
      <c r="CD64" s="5">
        <v>60</v>
      </c>
      <c r="CE64">
        <f>$CK$5/CD64</f>
        <v>2.0833333333333335</v>
      </c>
      <c r="CG64">
        <f>$CK$7/CD64</f>
        <v>1.3833333333333333</v>
      </c>
      <c r="CH64">
        <v>1</v>
      </c>
    </row>
    <row r="65" spans="1:86" x14ac:dyDescent="0.25">
      <c r="A65" s="5" t="s">
        <v>136</v>
      </c>
      <c r="B65" s="5">
        <f>B63*B64</f>
        <v>5.375</v>
      </c>
      <c r="C65" s="5" t="s">
        <v>33</v>
      </c>
      <c r="D65" s="5" t="s">
        <v>367</v>
      </c>
      <c r="E65" s="5">
        <f>B59+E35</f>
        <v>4.8174999999999999</v>
      </c>
      <c r="F65" s="5" t="s">
        <v>33</v>
      </c>
      <c r="H65" s="5" t="s">
        <v>124</v>
      </c>
      <c r="I65" s="5">
        <f>B11</f>
        <v>11.35</v>
      </c>
      <c r="J65" s="5" t="s">
        <v>23</v>
      </c>
      <c r="L65" s="5" t="s">
        <v>908</v>
      </c>
      <c r="M65" s="5">
        <v>1.1000000000000001</v>
      </c>
      <c r="N65" s="11" t="s">
        <v>8</v>
      </c>
      <c r="O65" s="36"/>
      <c r="P65" s="2">
        <f t="shared" si="8"/>
        <v>0.45</v>
      </c>
      <c r="Q65" s="11" t="s">
        <v>23</v>
      </c>
      <c r="R65" s="5" t="s">
        <v>909</v>
      </c>
      <c r="S65" s="5">
        <v>1.3</v>
      </c>
      <c r="T65" s="5" t="s">
        <v>8</v>
      </c>
      <c r="Z65" s="48"/>
      <c r="AH65" s="14" t="s">
        <v>281</v>
      </c>
      <c r="AI65" s="14">
        <f>AI64*F12</f>
        <v>493.58767499999988</v>
      </c>
      <c r="AJ65" s="14" t="s">
        <v>119</v>
      </c>
      <c r="AL65" s="5" t="s">
        <v>910</v>
      </c>
      <c r="AM65" s="5">
        <f>3.9</f>
        <v>3.9</v>
      </c>
      <c r="AN65" s="5" t="s">
        <v>8</v>
      </c>
      <c r="AP65" s="5" t="s">
        <v>356</v>
      </c>
      <c r="AQ65" s="5">
        <f>AQ63*AQ64</f>
        <v>38.589999999999996</v>
      </c>
      <c r="AR65" s="5" t="s">
        <v>33</v>
      </c>
      <c r="AT65" s="5" t="s">
        <v>420</v>
      </c>
      <c r="AU65" s="5">
        <f>AU64*C10*10^-2</f>
        <v>13.700000000000001</v>
      </c>
      <c r="AV65" s="5" t="s">
        <v>23</v>
      </c>
      <c r="AX65" s="43"/>
      <c r="AY65" s="50" t="s">
        <v>911</v>
      </c>
      <c r="AZ65">
        <f>AZ64*F17</f>
        <v>5.4599999999999989E-2</v>
      </c>
      <c r="BA65" s="44" t="s">
        <v>21</v>
      </c>
      <c r="BC65" s="5" t="s">
        <v>138</v>
      </c>
      <c r="BD65" s="5">
        <f>BD64*(($F$4)*10^-2)</f>
        <v>0.12456719999999996</v>
      </c>
      <c r="BE65" s="5" t="s">
        <v>21</v>
      </c>
      <c r="BH65" s="5" t="s">
        <v>620</v>
      </c>
      <c r="BI65" s="5">
        <f>ROUND(BI64/$F$9,0)</f>
        <v>6918</v>
      </c>
      <c r="BJ65" s="5"/>
      <c r="BK65" s="5"/>
      <c r="BQ65" s="58" t="s">
        <v>554</v>
      </c>
      <c r="BR65" t="s">
        <v>555</v>
      </c>
      <c r="BS65" s="69">
        <f>BD55</f>
        <v>0.71873992665146358</v>
      </c>
      <c r="BT65" t="s">
        <v>21</v>
      </c>
      <c r="BU65" s="69">
        <f>BS65/$BR$25</f>
        <v>3.5697978883786805E-3</v>
      </c>
      <c r="CC65" s="5" t="s">
        <v>912</v>
      </c>
      <c r="CD65" s="5">
        <v>60</v>
      </c>
      <c r="CE65">
        <f>$CK$13/CD65</f>
        <v>0.78333333333333333</v>
      </c>
      <c r="CF65">
        <v>0</v>
      </c>
      <c r="CG65">
        <f>$CK$13/CD65</f>
        <v>0.78333333333333333</v>
      </c>
      <c r="CH65">
        <v>0</v>
      </c>
    </row>
    <row r="66" spans="1:86" x14ac:dyDescent="0.25">
      <c r="A66" s="48" t="s">
        <v>81</v>
      </c>
      <c r="D66" s="50" t="s">
        <v>333</v>
      </c>
      <c r="E66">
        <f>E65*F14</f>
        <v>0.19270000000000001</v>
      </c>
      <c r="F66" t="s">
        <v>21</v>
      </c>
      <c r="H66" s="5" t="s">
        <v>448</v>
      </c>
      <c r="I66" s="5">
        <f>I65*I64*I63</f>
        <v>3.1484899999999996E-2</v>
      </c>
      <c r="J66" s="5" t="s">
        <v>21</v>
      </c>
      <c r="L66" s="5" t="s">
        <v>913</v>
      </c>
      <c r="M66" s="5">
        <f>M62*$C$10*10^-2</f>
        <v>2.0499999999999998</v>
      </c>
      <c r="N66" s="11" t="s">
        <v>23</v>
      </c>
      <c r="O66" s="36"/>
      <c r="P66" s="2">
        <f t="shared" si="8"/>
        <v>1.05</v>
      </c>
      <c r="Q66" s="11" t="s">
        <v>23</v>
      </c>
      <c r="R66" s="5" t="s">
        <v>913</v>
      </c>
      <c r="S66" s="5">
        <f>S61*$C$10*10^-2</f>
        <v>1.7</v>
      </c>
      <c r="T66" s="5" t="s">
        <v>23</v>
      </c>
      <c r="AL66" s="5" t="s">
        <v>914</v>
      </c>
      <c r="AM66" s="5">
        <f>(AM65*50)*10^-2</f>
        <v>1.95</v>
      </c>
      <c r="AN66" s="5" t="s">
        <v>23</v>
      </c>
      <c r="AP66" s="5" t="s">
        <v>89</v>
      </c>
      <c r="AQ66" s="5">
        <v>0.02</v>
      </c>
      <c r="AR66" s="5" t="s">
        <v>23</v>
      </c>
      <c r="AT66" s="5" t="s">
        <v>915</v>
      </c>
      <c r="AU66" s="5">
        <f>(PI()*(AU61/2)*AU63)/2</f>
        <v>1.2130396093857252E-2</v>
      </c>
      <c r="AV66" s="5" t="s">
        <v>33</v>
      </c>
      <c r="AX66" s="43"/>
      <c r="AY66" s="21" t="s">
        <v>559</v>
      </c>
      <c r="AZ66" s="4"/>
      <c r="BA66" s="2"/>
      <c r="BC66" s="14" t="s">
        <v>150</v>
      </c>
      <c r="BD66" s="5">
        <f>BD65*$F$12</f>
        <v>211.76423999999994</v>
      </c>
      <c r="BE66" s="5" t="s">
        <v>119</v>
      </c>
      <c r="BH66" s="14" t="s">
        <v>513</v>
      </c>
      <c r="BI66" s="5">
        <f>BI65*$F$11</f>
        <v>17295</v>
      </c>
      <c r="BJ66" s="5" t="s">
        <v>119</v>
      </c>
      <c r="BS66" s="69"/>
      <c r="BU66" s="69"/>
      <c r="CC66" s="5" t="s">
        <v>485</v>
      </c>
      <c r="CD66" s="5">
        <v>80</v>
      </c>
      <c r="CE66">
        <f>$CK$5/CD66</f>
        <v>1.5625</v>
      </c>
      <c r="CG66">
        <f t="shared" si="1"/>
        <v>1.0375000000000001</v>
      </c>
    </row>
    <row r="67" spans="1:86" x14ac:dyDescent="0.25">
      <c r="A67" s="5" t="s">
        <v>916</v>
      </c>
      <c r="B67" s="5">
        <f>B30-B38-B59-B65</f>
        <v>30.567500000000003</v>
      </c>
      <c r="C67" s="5" t="s">
        <v>33</v>
      </c>
      <c r="H67" s="5" t="s">
        <v>453</v>
      </c>
      <c r="I67" s="5">
        <f>I66*100</f>
        <v>3.1484899999999998</v>
      </c>
      <c r="J67" s="5" t="s">
        <v>21</v>
      </c>
      <c r="L67" s="5" t="s">
        <v>917</v>
      </c>
      <c r="M67" s="5">
        <f>M63*$C$10*10^-2</f>
        <v>0.8</v>
      </c>
      <c r="N67" s="11" t="s">
        <v>23</v>
      </c>
      <c r="O67" s="7"/>
      <c r="P67" s="2">
        <f t="shared" si="8"/>
        <v>3</v>
      </c>
      <c r="Q67" s="11" t="s">
        <v>23</v>
      </c>
      <c r="R67" s="5" t="s">
        <v>918</v>
      </c>
      <c r="S67" s="5">
        <f t="shared" ref="S67:S70" si="9">S62*$C$10*10^-2</f>
        <v>0.70000000000000007</v>
      </c>
      <c r="T67" s="5" t="s">
        <v>23</v>
      </c>
      <c r="AH67" s="14" t="s">
        <v>919</v>
      </c>
      <c r="AI67" s="14">
        <f>AI43+AI62</f>
        <v>7181.7003676470595</v>
      </c>
      <c r="AJ67" s="14" t="s">
        <v>119</v>
      </c>
      <c r="AL67" s="14" t="s">
        <v>920</v>
      </c>
      <c r="AM67" s="14">
        <f>AM66*AM29*AM30</f>
        <v>4.9724999999999998E-2</v>
      </c>
      <c r="AN67" s="14" t="s">
        <v>21</v>
      </c>
      <c r="AP67" s="5" t="s">
        <v>184</v>
      </c>
      <c r="AQ67" s="5">
        <v>2</v>
      </c>
      <c r="AR67" s="5"/>
      <c r="AT67" s="5" t="s">
        <v>921</v>
      </c>
      <c r="AU67" s="5">
        <f>(PI()*((AU61-(2*AU30))/2)*AU63)/2</f>
        <v>1.1119529752702481E-2</v>
      </c>
      <c r="AV67" s="5" t="s">
        <v>33</v>
      </c>
      <c r="AX67" s="43"/>
      <c r="AY67" s="14" t="s">
        <v>922</v>
      </c>
      <c r="AZ67" s="5">
        <f>AU58</f>
        <v>171.85047907305804</v>
      </c>
      <c r="BA67" s="5" t="s">
        <v>119</v>
      </c>
      <c r="BC67" s="36" t="s">
        <v>923</v>
      </c>
      <c r="BD67">
        <f>(BD59*AI53*2)+(BD59*AI55*2)</f>
        <v>19.440000000000001</v>
      </c>
      <c r="BE67" s="36" t="s">
        <v>33</v>
      </c>
      <c r="BH67" s="5" t="s">
        <v>128</v>
      </c>
      <c r="BI67" s="5">
        <f>BI65*($F$9-$F$8)</f>
        <v>20.200559999999992</v>
      </c>
      <c r="BJ67" s="5" t="s">
        <v>33</v>
      </c>
      <c r="BQ67" s="59" t="s">
        <v>559</v>
      </c>
      <c r="BR67" s="59"/>
      <c r="BS67" s="59"/>
      <c r="BT67" s="59"/>
      <c r="BU67" s="59"/>
      <c r="BV67" s="59"/>
      <c r="CC67" s="5" t="s">
        <v>488</v>
      </c>
      <c r="CD67" s="5">
        <v>15</v>
      </c>
      <c r="CE67">
        <f>$CK$15/CD67</f>
        <v>5.1333333333333337</v>
      </c>
      <c r="CF67">
        <v>5</v>
      </c>
      <c r="CG67">
        <f>$CK$15/CD67</f>
        <v>5.1333333333333337</v>
      </c>
      <c r="CH67">
        <v>5</v>
      </c>
    </row>
    <row r="68" spans="1:86" x14ac:dyDescent="0.25">
      <c r="A68" s="5" t="s">
        <v>620</v>
      </c>
      <c r="B68" s="5">
        <f>ROUND(B67/$F$9,0)</f>
        <v>2007</v>
      </c>
      <c r="C68" s="5"/>
      <c r="L68" s="5" t="s">
        <v>924</v>
      </c>
      <c r="M68" s="5">
        <f>M64*$C$10*10^-2</f>
        <v>0.65</v>
      </c>
      <c r="N68" s="5" t="s">
        <v>23</v>
      </c>
      <c r="O68" s="5" t="s">
        <v>695</v>
      </c>
      <c r="P68" s="5">
        <f>SUM(P61:P67)*P27</f>
        <v>16.170000000000002</v>
      </c>
      <c r="Q68" s="11" t="s">
        <v>33</v>
      </c>
      <c r="R68" s="5" t="s">
        <v>925</v>
      </c>
      <c r="S68" s="5">
        <f>S63*$C$10*10^-2</f>
        <v>0.75</v>
      </c>
      <c r="T68" s="5" t="s">
        <v>23</v>
      </c>
      <c r="AH68" s="14" t="s">
        <v>926</v>
      </c>
      <c r="AI68" s="14">
        <f>AI65+AI46</f>
        <v>1540.0782989999998</v>
      </c>
      <c r="AJ68" s="14" t="s">
        <v>119</v>
      </c>
      <c r="AL68" s="5" t="s">
        <v>927</v>
      </c>
      <c r="AM68" s="5">
        <v>1.6</v>
      </c>
      <c r="AN68" s="5" t="s">
        <v>8</v>
      </c>
      <c r="AP68" s="5" t="s">
        <v>263</v>
      </c>
      <c r="AQ68" s="5">
        <f>(AQ58*AQ66)+(AQ65*AQ66)</f>
        <v>2.5651000000000002</v>
      </c>
      <c r="AR68" s="5" t="s">
        <v>21</v>
      </c>
      <c r="AT68" s="36" t="s">
        <v>928</v>
      </c>
      <c r="AU68" s="5">
        <f>(AU66-AU67)*AU65</f>
        <v>1.3848868873820353E-2</v>
      </c>
      <c r="AV68" s="5" t="s">
        <v>21</v>
      </c>
      <c r="AX68" s="43"/>
      <c r="BC68" s="36" t="s">
        <v>892</v>
      </c>
      <c r="BD68">
        <f>BD67-AI59</f>
        <v>5.4161999999999999</v>
      </c>
      <c r="BE68" s="36" t="s">
        <v>33</v>
      </c>
      <c r="BH68" s="5" t="s">
        <v>138</v>
      </c>
      <c r="BI68" s="5">
        <f>BI67*(($F$4)*10^-2)</f>
        <v>2.1816604799999992</v>
      </c>
      <c r="BJ68" s="5" t="s">
        <v>21</v>
      </c>
      <c r="BQ68" s="58" t="s">
        <v>560</v>
      </c>
      <c r="BR68" t="s">
        <v>561</v>
      </c>
      <c r="BS68" s="69">
        <f>AZ67</f>
        <v>171.85047907305804</v>
      </c>
      <c r="BT68" t="s">
        <v>119</v>
      </c>
      <c r="BU68" s="69">
        <f>BS68/$BR$25</f>
        <v>0.85353749605920548</v>
      </c>
      <c r="CC68" s="36" t="s">
        <v>929</v>
      </c>
      <c r="CD68" s="36">
        <v>50</v>
      </c>
      <c r="CE68">
        <f>$CK$5/CD68</f>
        <v>2.5</v>
      </c>
      <c r="CF68">
        <v>2</v>
      </c>
      <c r="CG68">
        <f>CK7/CD68</f>
        <v>1.66</v>
      </c>
      <c r="CH68">
        <v>1</v>
      </c>
    </row>
    <row r="69" spans="1:86" x14ac:dyDescent="0.25">
      <c r="A69" s="14" t="s">
        <v>513</v>
      </c>
      <c r="B69" s="5">
        <f>B68*$F$11</f>
        <v>5017.5</v>
      </c>
      <c r="C69" s="5" t="s">
        <v>119</v>
      </c>
      <c r="H69" s="14" t="s">
        <v>930</v>
      </c>
      <c r="I69" s="14">
        <f>I67+I55+I48</f>
        <v>24.008183750000001</v>
      </c>
      <c r="J69" s="14" t="s">
        <v>21</v>
      </c>
      <c r="L69" s="5" t="s">
        <v>931</v>
      </c>
      <c r="M69" s="5">
        <f>M65*$C$10*10^-2</f>
        <v>0.55000000000000004</v>
      </c>
      <c r="N69" s="5" t="s">
        <v>23</v>
      </c>
      <c r="O69" t="s">
        <v>932</v>
      </c>
      <c r="P69" s="5">
        <v>5</v>
      </c>
      <c r="Q69" s="11" t="s">
        <v>8</v>
      </c>
      <c r="R69" s="5" t="s">
        <v>933</v>
      </c>
      <c r="S69" s="5">
        <f t="shared" si="9"/>
        <v>0.85</v>
      </c>
      <c r="T69" s="5" t="s">
        <v>23</v>
      </c>
      <c r="AL69" s="5" t="s">
        <v>934</v>
      </c>
      <c r="AM69" s="5">
        <f>(AM68*50)*10^-2</f>
        <v>0.8</v>
      </c>
      <c r="AN69" s="5" t="s">
        <v>23</v>
      </c>
      <c r="AT69" s="36" t="s">
        <v>935</v>
      </c>
      <c r="AU69" s="5">
        <v>2</v>
      </c>
      <c r="AV69" s="5"/>
      <c r="AX69" s="43"/>
      <c r="BC69" s="5" t="s">
        <v>620</v>
      </c>
      <c r="BD69" s="5">
        <f>ROUND(BD68/$F$9,0)</f>
        <v>356</v>
      </c>
      <c r="BE69" s="5"/>
      <c r="BH69" s="14" t="s">
        <v>150</v>
      </c>
      <c r="BI69" s="5">
        <f>BI68*$F$12</f>
        <v>3708.8228159999985</v>
      </c>
      <c r="BJ69" s="5" t="s">
        <v>119</v>
      </c>
      <c r="BQ69" s="58"/>
      <c r="BS69" s="69"/>
      <c r="BU69" s="69"/>
    </row>
    <row r="70" spans="1:86" x14ac:dyDescent="0.25">
      <c r="A70" s="5" t="s">
        <v>128</v>
      </c>
      <c r="B70" s="5">
        <f>B68*($F$9-$F$8)</f>
        <v>5.8604399999999979</v>
      </c>
      <c r="C70" s="5" t="s">
        <v>33</v>
      </c>
      <c r="L70" s="5" t="s">
        <v>936</v>
      </c>
      <c r="M70" s="5">
        <f>$M$66*M67</f>
        <v>1.64</v>
      </c>
      <c r="N70" s="5" t="s">
        <v>33</v>
      </c>
      <c r="P70" s="5">
        <v>11.5</v>
      </c>
      <c r="Q70" s="11" t="s">
        <v>8</v>
      </c>
      <c r="R70" s="5" t="s">
        <v>937</v>
      </c>
      <c r="S70" s="5">
        <f t="shared" si="9"/>
        <v>0.65</v>
      </c>
      <c r="T70" s="5" t="s">
        <v>23</v>
      </c>
      <c r="AL70" s="14" t="s">
        <v>938</v>
      </c>
      <c r="AM70" s="14">
        <f>AM69*AM31*AM31</f>
        <v>8.0000000000000019E-3</v>
      </c>
      <c r="AN70" s="14" t="s">
        <v>21</v>
      </c>
      <c r="AP70" s="21" t="s">
        <v>801</v>
      </c>
      <c r="AQ70" s="4"/>
      <c r="AR70" s="2"/>
      <c r="AT70" s="36" t="s">
        <v>939</v>
      </c>
      <c r="AU70" s="5">
        <f>AU68*AU69</f>
        <v>2.7697737747640706E-2</v>
      </c>
      <c r="AV70" s="5" t="s">
        <v>21</v>
      </c>
      <c r="AX70" s="43"/>
      <c r="BC70" s="14" t="s">
        <v>513</v>
      </c>
      <c r="BD70" s="5">
        <f>BD69*$F$11</f>
        <v>890</v>
      </c>
      <c r="BE70" s="5" t="s">
        <v>119</v>
      </c>
      <c r="BH70" s="27" t="s">
        <v>665</v>
      </c>
      <c r="BI70" s="4"/>
      <c r="BJ70" s="2"/>
      <c r="BS70" s="69"/>
      <c r="BU70" s="69"/>
    </row>
    <row r="71" spans="1:86" x14ac:dyDescent="0.25">
      <c r="A71" s="5" t="s">
        <v>138</v>
      </c>
      <c r="B71" s="5">
        <f>B70*(($F$4)*10^-2)</f>
        <v>0.63292751999999985</v>
      </c>
      <c r="C71" s="5" t="s">
        <v>21</v>
      </c>
      <c r="H71" t="s">
        <v>940</v>
      </c>
      <c r="L71" s="5" t="s">
        <v>941</v>
      </c>
      <c r="M71" s="5">
        <f>$M$66*M68</f>
        <v>1.3325</v>
      </c>
      <c r="N71" s="5" t="s">
        <v>33</v>
      </c>
      <c r="P71" s="5">
        <v>3.1</v>
      </c>
      <c r="Q71" s="11" t="s">
        <v>8</v>
      </c>
      <c r="R71" s="5" t="s">
        <v>936</v>
      </c>
      <c r="S71" s="5">
        <f>$S$66*S67</f>
        <v>1.1900000000000002</v>
      </c>
      <c r="T71" s="5" t="s">
        <v>33</v>
      </c>
      <c r="Z71" s="48"/>
      <c r="AL71" s="5" t="s">
        <v>942</v>
      </c>
      <c r="AM71" s="5">
        <v>2.2999999999999998</v>
      </c>
      <c r="AN71" s="5" t="s">
        <v>8</v>
      </c>
      <c r="AP71" s="5" t="s">
        <v>809</v>
      </c>
      <c r="AQ71" s="5">
        <f>6/20</f>
        <v>0.3</v>
      </c>
      <c r="AR71" s="5" t="s">
        <v>810</v>
      </c>
      <c r="AT71" s="36" t="s">
        <v>943</v>
      </c>
      <c r="AU71" s="5">
        <f>(AU66*AU30)*4</f>
        <v>3.1781637765906001E-4</v>
      </c>
      <c r="AV71" s="5" t="s">
        <v>21</v>
      </c>
      <c r="AX71" s="43"/>
      <c r="BC71" s="5" t="s">
        <v>128</v>
      </c>
      <c r="BD71" s="5">
        <f>BD69*($F$9-$F$8)</f>
        <v>1.0395199999999996</v>
      </c>
      <c r="BE71" s="5" t="s">
        <v>33</v>
      </c>
      <c r="BH71" t="s">
        <v>685</v>
      </c>
      <c r="BI71">
        <v>2</v>
      </c>
      <c r="BQ71" s="59" t="s">
        <v>72</v>
      </c>
      <c r="BR71" s="59"/>
      <c r="BS71" s="59"/>
      <c r="BT71" s="59"/>
      <c r="BU71" s="59"/>
      <c r="BV71" s="59"/>
    </row>
    <row r="72" spans="1:86" x14ac:dyDescent="0.25">
      <c r="A72" s="14" t="s">
        <v>150</v>
      </c>
      <c r="B72" s="5">
        <f>B71*$F$12</f>
        <v>1075.9767839999997</v>
      </c>
      <c r="C72" s="5" t="s">
        <v>119</v>
      </c>
      <c r="H72" t="s">
        <v>944</v>
      </c>
      <c r="I72">
        <v>2.13</v>
      </c>
      <c r="J72" t="s">
        <v>945</v>
      </c>
      <c r="L72" s="5" t="s">
        <v>946</v>
      </c>
      <c r="M72" s="5">
        <f>$M$66*M69</f>
        <v>1.1274999999999999</v>
      </c>
      <c r="N72" s="5" t="s">
        <v>33</v>
      </c>
      <c r="P72" s="5">
        <v>3.8</v>
      </c>
      <c r="Q72" s="11" t="s">
        <v>8</v>
      </c>
      <c r="R72" s="5" t="s">
        <v>941</v>
      </c>
      <c r="S72" s="5">
        <f>$S$66*S68</f>
        <v>1.2749999999999999</v>
      </c>
      <c r="T72" s="5" t="s">
        <v>33</v>
      </c>
      <c r="AL72" s="5" t="s">
        <v>947</v>
      </c>
      <c r="AM72" s="5">
        <f>(AM71*50)*10^-2</f>
        <v>1.1499999999999999</v>
      </c>
      <c r="AN72" s="5" t="s">
        <v>23</v>
      </c>
      <c r="AP72" s="14" t="s">
        <v>815</v>
      </c>
      <c r="AQ72" s="5">
        <f>AQ71*AQ73</f>
        <v>38.476499999999994</v>
      </c>
      <c r="AR72" s="5" t="s">
        <v>119</v>
      </c>
      <c r="AT72" s="36" t="s">
        <v>948</v>
      </c>
      <c r="AU72" s="5">
        <f>AU70-AU71</f>
        <v>2.7379921369981648E-2</v>
      </c>
      <c r="AV72" s="5" t="s">
        <v>21</v>
      </c>
      <c r="AX72" s="43"/>
      <c r="BC72" s="5" t="s">
        <v>138</v>
      </c>
      <c r="BD72" s="5">
        <f>BD71*(($F$4)*10^-2)</f>
        <v>0.11226815999999996</v>
      </c>
      <c r="BE72" s="5" t="s">
        <v>21</v>
      </c>
      <c r="BH72" s="5" t="s">
        <v>138</v>
      </c>
      <c r="BI72" s="5">
        <f>BI64*($W$51*10^-3)*BI71</f>
        <v>3.1612153846153848</v>
      </c>
      <c r="BJ72" s="5" t="s">
        <v>21</v>
      </c>
      <c r="BQ72" s="58" t="s">
        <v>556</v>
      </c>
      <c r="BR72" t="s">
        <v>541</v>
      </c>
      <c r="BS72" s="69">
        <f>BD75</f>
        <v>1877.5</v>
      </c>
      <c r="BT72" t="s">
        <v>119</v>
      </c>
      <c r="BU72" s="69">
        <f>BS72/$BR$25</f>
        <v>9.3250636104999582</v>
      </c>
    </row>
    <row r="73" spans="1:86" x14ac:dyDescent="0.25">
      <c r="H73" t="s">
        <v>949</v>
      </c>
      <c r="I73">
        <v>9</v>
      </c>
      <c r="J73" t="s">
        <v>950</v>
      </c>
      <c r="L73" s="5" t="s">
        <v>951</v>
      </c>
      <c r="M73" s="5">
        <v>5</v>
      </c>
      <c r="N73" s="5"/>
      <c r="O73" s="9" t="s">
        <v>952</v>
      </c>
      <c r="P73" s="5">
        <f>P69*$C$10*10^-2</f>
        <v>2.5</v>
      </c>
      <c r="Q73" s="11" t="s">
        <v>23</v>
      </c>
      <c r="R73" s="5" t="s">
        <v>946</v>
      </c>
      <c r="S73" s="5">
        <f>$S$66*S69</f>
        <v>1.4449999999999998</v>
      </c>
      <c r="T73" s="5" t="s">
        <v>33</v>
      </c>
      <c r="AL73" s="14" t="s">
        <v>953</v>
      </c>
      <c r="AM73" s="14">
        <f>AM72*AM32*AM32</f>
        <v>2.875E-3</v>
      </c>
      <c r="AN73" s="14" t="s">
        <v>21</v>
      </c>
      <c r="AP73" s="5" t="s">
        <v>356</v>
      </c>
      <c r="AQ73" s="5">
        <f>AQ65+AQ58</f>
        <v>128.255</v>
      </c>
      <c r="AR73" s="5" t="s">
        <v>33</v>
      </c>
      <c r="AT73" s="5" t="s">
        <v>954</v>
      </c>
      <c r="AU73" s="5">
        <f>7.133*10^3</f>
        <v>7133</v>
      </c>
      <c r="AV73" s="5" t="s">
        <v>35</v>
      </c>
      <c r="AX73" s="43"/>
      <c r="BC73" s="14" t="s">
        <v>150</v>
      </c>
      <c r="BD73" s="5">
        <f>BD72*$F$12</f>
        <v>190.85587199999995</v>
      </c>
      <c r="BE73" s="5" t="s">
        <v>119</v>
      </c>
      <c r="BH73" s="5" t="s">
        <v>281</v>
      </c>
      <c r="BI73" s="5">
        <f>BI72*F12</f>
        <v>5374.0661538461545</v>
      </c>
      <c r="BJ73" s="5" t="s">
        <v>119</v>
      </c>
      <c r="BQ73" s="58" t="s">
        <v>537</v>
      </c>
      <c r="BR73" t="s">
        <v>538</v>
      </c>
      <c r="BS73" s="69">
        <f>BD76</f>
        <v>402.62011199999989</v>
      </c>
      <c r="BT73" t="s">
        <v>119</v>
      </c>
      <c r="BU73" s="69">
        <f>BS73/$BR$25</f>
        <v>1.9997114009409409</v>
      </c>
    </row>
    <row r="74" spans="1:86" x14ac:dyDescent="0.25">
      <c r="H74" t="s">
        <v>955</v>
      </c>
      <c r="I74">
        <f>I36</f>
        <v>127.22256465049745</v>
      </c>
      <c r="L74" s="5" t="s">
        <v>956</v>
      </c>
      <c r="M74" s="5">
        <v>2</v>
      </c>
      <c r="N74" s="5"/>
      <c r="O74" s="36"/>
      <c r="P74" s="5">
        <f t="shared" ref="P74:P76" si="10">P70*$C$10*10^-2</f>
        <v>5.75</v>
      </c>
      <c r="Q74" s="11" t="s">
        <v>23</v>
      </c>
      <c r="R74" s="5" t="s">
        <v>957</v>
      </c>
      <c r="S74" s="5">
        <f>$S$66*S70</f>
        <v>1.105</v>
      </c>
      <c r="T74" s="5" t="s">
        <v>33</v>
      </c>
      <c r="AL74" s="5" t="s">
        <v>958</v>
      </c>
      <c r="AM74" s="5">
        <v>2.1</v>
      </c>
      <c r="AN74" s="5" t="s">
        <v>8</v>
      </c>
      <c r="AP74" s="5" t="s">
        <v>138</v>
      </c>
      <c r="AQ74" s="5">
        <f>($W$51*10^-3)*AQ73</f>
        <v>1.9238249999999999</v>
      </c>
      <c r="AR74" s="5" t="s">
        <v>21</v>
      </c>
      <c r="AT74" s="36" t="s">
        <v>959</v>
      </c>
      <c r="AU74">
        <f>AU73*AU70</f>
        <v>197.56796335392116</v>
      </c>
      <c r="AV74" s="36" t="s">
        <v>119</v>
      </c>
      <c r="AX74" s="43"/>
      <c r="BC74" s="6" t="s">
        <v>242</v>
      </c>
      <c r="BD74" s="4"/>
      <c r="BE74" s="2"/>
    </row>
    <row r="75" spans="1:86" x14ac:dyDescent="0.25">
      <c r="H75" t="s">
        <v>960</v>
      </c>
      <c r="I75">
        <f>I74*I72</f>
        <v>270.98406270555955</v>
      </c>
      <c r="J75" t="s">
        <v>961</v>
      </c>
      <c r="L75" s="5" t="s">
        <v>962</v>
      </c>
      <c r="M75" s="5">
        <v>1</v>
      </c>
      <c r="N75" s="5"/>
      <c r="O75" s="36"/>
      <c r="P75" s="5">
        <f t="shared" si="10"/>
        <v>1.55</v>
      </c>
      <c r="Q75" s="11" t="s">
        <v>23</v>
      </c>
      <c r="R75" s="5" t="s">
        <v>951</v>
      </c>
      <c r="S75" s="5">
        <v>4</v>
      </c>
      <c r="T75" s="5"/>
      <c r="AL75" s="5" t="s">
        <v>963</v>
      </c>
      <c r="AM75" s="5">
        <f>(AM74*50)*10^-2</f>
        <v>1.05</v>
      </c>
      <c r="AN75" s="5" t="s">
        <v>23</v>
      </c>
      <c r="AP75" s="14" t="s">
        <v>281</v>
      </c>
      <c r="AQ75" s="5">
        <f>AQ74*$F$12</f>
        <v>3270.5024999999996</v>
      </c>
      <c r="AR75" s="5" t="s">
        <v>119</v>
      </c>
      <c r="AT75" s="5"/>
      <c r="AU75" s="5"/>
      <c r="AV75" s="5"/>
      <c r="AX75" s="43"/>
      <c r="BC75" s="14" t="s">
        <v>513</v>
      </c>
      <c r="BD75" s="5">
        <f>BD63+BD70</f>
        <v>1877.5</v>
      </c>
      <c r="BE75" s="5" t="s">
        <v>119</v>
      </c>
    </row>
    <row r="76" spans="1:86" x14ac:dyDescent="0.25">
      <c r="H76" t="s">
        <v>964</v>
      </c>
      <c r="I76">
        <f>I75*I73</f>
        <v>2438.856564350036</v>
      </c>
      <c r="J76" t="s">
        <v>119</v>
      </c>
      <c r="L76" s="5" t="s">
        <v>965</v>
      </c>
      <c r="M76" s="5">
        <f>(M70*M73)+(M71*M74)+(M72*M75)</f>
        <v>11.992499999999998</v>
      </c>
      <c r="N76" s="5" t="s">
        <v>33</v>
      </c>
      <c r="O76" s="7"/>
      <c r="P76" s="5">
        <f t="shared" si="10"/>
        <v>1.9000000000000001</v>
      </c>
      <c r="Q76" s="11" t="s">
        <v>23</v>
      </c>
      <c r="R76" s="5" t="s">
        <v>956</v>
      </c>
      <c r="S76" s="5">
        <v>2</v>
      </c>
      <c r="T76" s="5"/>
      <c r="AL76" s="5" t="s">
        <v>966</v>
      </c>
      <c r="AM76" s="5">
        <f>AM75*AM33*AM33</f>
        <v>6.5625000000000015E-4</v>
      </c>
      <c r="AN76" s="5" t="s">
        <v>21</v>
      </c>
      <c r="AX76" s="43"/>
      <c r="BC76" s="14" t="s">
        <v>150</v>
      </c>
      <c r="BD76" s="5">
        <f>BD66+BD73</f>
        <v>402.62011199999989</v>
      </c>
      <c r="BE76" s="5" t="s">
        <v>119</v>
      </c>
    </row>
    <row r="77" spans="1:86" x14ac:dyDescent="0.25">
      <c r="L77" s="48" t="s">
        <v>81</v>
      </c>
      <c r="O77" s="5" t="s">
        <v>695</v>
      </c>
      <c r="P77" s="5">
        <f>SUM(P73:P76)*P27</f>
        <v>24.570000000000004</v>
      </c>
      <c r="Q77" s="11" t="s">
        <v>33</v>
      </c>
      <c r="R77" s="5" t="s">
        <v>962</v>
      </c>
      <c r="S77" s="5">
        <v>2</v>
      </c>
      <c r="T77" s="5"/>
      <c r="Z77" s="48"/>
      <c r="AL77" s="14" t="s">
        <v>967</v>
      </c>
      <c r="AM77" s="14">
        <f>AM76*2</f>
        <v>1.3125000000000003E-3</v>
      </c>
      <c r="AN77" s="14" t="s">
        <v>21</v>
      </c>
      <c r="AX77" s="43"/>
    </row>
    <row r="78" spans="1:86" x14ac:dyDescent="0.25">
      <c r="L78" s="5" t="s">
        <v>384</v>
      </c>
      <c r="M78" s="5">
        <f>M60-M76</f>
        <v>37.715000000000011</v>
      </c>
      <c r="N78" s="5" t="s">
        <v>33</v>
      </c>
      <c r="O78" s="9" t="s">
        <v>968</v>
      </c>
      <c r="P78" s="5">
        <v>4.0999999999999996</v>
      </c>
      <c r="Q78" s="11" t="s">
        <v>8</v>
      </c>
      <c r="R78" s="5" t="s">
        <v>969</v>
      </c>
      <c r="S78" s="5">
        <v>2</v>
      </c>
      <c r="T78" s="5"/>
      <c r="AL78" s="5" t="s">
        <v>970</v>
      </c>
      <c r="AM78" s="5">
        <v>2.1</v>
      </c>
      <c r="AN78" s="5" t="s">
        <v>8</v>
      </c>
      <c r="AX78" s="43"/>
    </row>
    <row r="79" spans="1:86" x14ac:dyDescent="0.25">
      <c r="L79" s="5" t="s">
        <v>620</v>
      </c>
      <c r="M79" s="5">
        <f>ROUND(M78/$F$9,0)</f>
        <v>2476</v>
      </c>
      <c r="N79" s="5"/>
      <c r="O79" s="7"/>
      <c r="P79" s="5">
        <v>7.1</v>
      </c>
      <c r="Q79" s="11" t="s">
        <v>8</v>
      </c>
      <c r="R79" s="5" t="s">
        <v>367</v>
      </c>
      <c r="S79" s="5">
        <f>(S71*S75)+(S72*S76)+(S73*S77)+(S74*S78)</f>
        <v>12.41</v>
      </c>
      <c r="T79" s="5" t="s">
        <v>33</v>
      </c>
      <c r="AL79" s="5" t="s">
        <v>971</v>
      </c>
      <c r="AM79" s="5">
        <f>(AM78*50)*10^-2</f>
        <v>1.05</v>
      </c>
      <c r="AN79" s="5" t="s">
        <v>23</v>
      </c>
      <c r="AX79" s="43"/>
    </row>
    <row r="80" spans="1:86" x14ac:dyDescent="0.25">
      <c r="L80" s="14" t="s">
        <v>513</v>
      </c>
      <c r="M80" s="5">
        <f>M79*$F$11</f>
        <v>6190</v>
      </c>
      <c r="N80" s="5" t="s">
        <v>119</v>
      </c>
      <c r="O80" t="s">
        <v>972</v>
      </c>
      <c r="P80" s="5">
        <f>P54*$C$10*10^-2</f>
        <v>0</v>
      </c>
      <c r="Q80" s="5" t="s">
        <v>23</v>
      </c>
      <c r="R80" s="48" t="s">
        <v>650</v>
      </c>
      <c r="AL80" s="14" t="s">
        <v>973</v>
      </c>
      <c r="AM80" s="14">
        <f>AM79*AM29*AM30</f>
        <v>2.6775000000000004E-2</v>
      </c>
      <c r="AN80" s="14" t="s">
        <v>21</v>
      </c>
      <c r="AX80" s="43"/>
    </row>
    <row r="81" spans="12:50" x14ac:dyDescent="0.25">
      <c r="L81" s="5" t="s">
        <v>128</v>
      </c>
      <c r="M81" s="5">
        <f>M79*($F$9-$F$8)</f>
        <v>7.2299199999999972</v>
      </c>
      <c r="N81" s="5" t="s">
        <v>33</v>
      </c>
      <c r="P81" s="5">
        <f>P55*$C$10*10^-2</f>
        <v>1.35</v>
      </c>
      <c r="Q81" s="11" t="s">
        <v>23</v>
      </c>
      <c r="R81" s="5" t="s">
        <v>974</v>
      </c>
      <c r="S81" s="5">
        <v>2.4</v>
      </c>
      <c r="T81" s="5" t="s">
        <v>8</v>
      </c>
      <c r="AL81" s="5" t="s">
        <v>975</v>
      </c>
      <c r="AM81" s="5">
        <v>3.7</v>
      </c>
      <c r="AN81" s="5" t="s">
        <v>8</v>
      </c>
      <c r="AX81" s="43"/>
    </row>
    <row r="82" spans="12:50" x14ac:dyDescent="0.25">
      <c r="L82" s="5" t="s">
        <v>138</v>
      </c>
      <c r="M82" s="5">
        <f>M81*(($F$4)*10^-2)</f>
        <v>0.78083135999999975</v>
      </c>
      <c r="N82" s="5" t="s">
        <v>21</v>
      </c>
      <c r="O82" s="5" t="s">
        <v>695</v>
      </c>
      <c r="P82" s="5">
        <f>SUM(P80:P81)*P27</f>
        <v>2.8350000000000004</v>
      </c>
      <c r="Q82" s="11" t="s">
        <v>33</v>
      </c>
      <c r="R82" s="5" t="s">
        <v>976</v>
      </c>
      <c r="S82" s="5">
        <v>1.6</v>
      </c>
      <c r="T82" s="5" t="s">
        <v>8</v>
      </c>
      <c r="Z82" s="48"/>
      <c r="AL82" s="5" t="s">
        <v>977</v>
      </c>
      <c r="AM82" s="5">
        <f>(AM81*50)*10^-2</f>
        <v>1.85</v>
      </c>
      <c r="AN82" s="5" t="s">
        <v>23</v>
      </c>
      <c r="AX82" s="43"/>
    </row>
    <row r="83" spans="12:50" x14ac:dyDescent="0.25">
      <c r="L83" s="14" t="s">
        <v>150</v>
      </c>
      <c r="M83" s="5">
        <f>M82*$F$12</f>
        <v>1327.4133119999997</v>
      </c>
      <c r="N83" s="5" t="s">
        <v>119</v>
      </c>
      <c r="R83" s="5" t="s">
        <v>978</v>
      </c>
      <c r="S83" s="5">
        <f>S81*$C$10*10^-2</f>
        <v>1.2</v>
      </c>
      <c r="T83" s="5" t="s">
        <v>23</v>
      </c>
      <c r="AL83" s="14" t="s">
        <v>979</v>
      </c>
      <c r="AM83" s="14">
        <f>AM82*AM29*AM30</f>
        <v>4.7175000000000009E-2</v>
      </c>
      <c r="AN83" s="14" t="s">
        <v>21</v>
      </c>
      <c r="AX83" s="43"/>
    </row>
    <row r="84" spans="12:50" x14ac:dyDescent="0.25">
      <c r="L84" s="27" t="s">
        <v>665</v>
      </c>
      <c r="M84" s="4"/>
      <c r="N84" s="2"/>
      <c r="R84" s="5" t="s">
        <v>980</v>
      </c>
      <c r="S84" s="5">
        <f>S82*$C$10*10^-2</f>
        <v>0.8</v>
      </c>
      <c r="T84" s="5" t="s">
        <v>23</v>
      </c>
      <c r="AL84" s="5" t="s">
        <v>981</v>
      </c>
      <c r="AM84" s="5">
        <v>3.9</v>
      </c>
      <c r="AN84" s="5" t="s">
        <v>8</v>
      </c>
      <c r="AX84" s="43"/>
    </row>
    <row r="85" spans="12:50" x14ac:dyDescent="0.25">
      <c r="L85" t="s">
        <v>685</v>
      </c>
      <c r="M85">
        <v>2</v>
      </c>
      <c r="R85" s="5" t="s">
        <v>13</v>
      </c>
      <c r="S85" s="5">
        <f>B34</f>
        <v>1.6</v>
      </c>
      <c r="T85" s="5" t="s">
        <v>23</v>
      </c>
      <c r="AL85" s="5" t="s">
        <v>982</v>
      </c>
      <c r="AM85" s="5">
        <f>(AM84*50)*10^-2</f>
        <v>1.95</v>
      </c>
      <c r="AN85" s="5" t="s">
        <v>23</v>
      </c>
      <c r="AX85" s="43"/>
    </row>
    <row r="86" spans="12:50" x14ac:dyDescent="0.25">
      <c r="L86" s="5" t="s">
        <v>138</v>
      </c>
      <c r="M86" s="5">
        <f>M78*($W$51*10^-3)*M85</f>
        <v>1.1314500000000003</v>
      </c>
      <c r="N86" s="5" t="s">
        <v>21</v>
      </c>
      <c r="R86" s="5" t="s">
        <v>790</v>
      </c>
      <c r="S86" s="5">
        <f>S83*S85</f>
        <v>1.92</v>
      </c>
      <c r="T86" s="5" t="s">
        <v>33</v>
      </c>
      <c r="AL86" s="14" t="s">
        <v>983</v>
      </c>
      <c r="AM86" s="14">
        <f>AM85*AM29*AM30</f>
        <v>4.9724999999999998E-2</v>
      </c>
      <c r="AN86" s="14" t="s">
        <v>21</v>
      </c>
      <c r="AX86" s="43"/>
    </row>
    <row r="87" spans="12:50" x14ac:dyDescent="0.25">
      <c r="L87" s="5" t="s">
        <v>281</v>
      </c>
      <c r="M87" s="5">
        <f>M86*F12</f>
        <v>1923.4650000000006</v>
      </c>
      <c r="N87" s="5" t="s">
        <v>119</v>
      </c>
      <c r="R87" s="5" t="s">
        <v>796</v>
      </c>
      <c r="S87" s="5">
        <f>S84*S85</f>
        <v>1.2800000000000002</v>
      </c>
      <c r="T87" s="5" t="s">
        <v>33</v>
      </c>
      <c r="AL87" s="5" t="s">
        <v>984</v>
      </c>
      <c r="AM87" s="5">
        <v>1.5</v>
      </c>
      <c r="AN87" s="5" t="s">
        <v>8</v>
      </c>
      <c r="AX87" s="43"/>
    </row>
    <row r="88" spans="12:50" x14ac:dyDescent="0.25">
      <c r="R88" s="5" t="s">
        <v>985</v>
      </c>
      <c r="S88" s="5">
        <v>4</v>
      </c>
      <c r="T88" s="5"/>
      <c r="AL88" s="5" t="s">
        <v>986</v>
      </c>
      <c r="AM88" s="5">
        <f>(AM87*50)*10^-2</f>
        <v>0.75</v>
      </c>
      <c r="AN88" s="5" t="s">
        <v>23</v>
      </c>
      <c r="AX88" s="43"/>
    </row>
    <row r="89" spans="12:50" x14ac:dyDescent="0.25">
      <c r="R89" s="5" t="s">
        <v>987</v>
      </c>
      <c r="S89" s="5">
        <v>2</v>
      </c>
      <c r="T89" s="5"/>
      <c r="AL89" s="14" t="s">
        <v>988</v>
      </c>
      <c r="AM89" s="14">
        <f>AM88*AM31*AM31</f>
        <v>7.5000000000000015E-3</v>
      </c>
      <c r="AN89" s="14" t="s">
        <v>21</v>
      </c>
      <c r="AX89" s="43"/>
    </row>
    <row r="90" spans="12:50" x14ac:dyDescent="0.25">
      <c r="R90" s="5" t="s">
        <v>125</v>
      </c>
      <c r="S90" s="5">
        <f>(S86*S88)+(S89*S87)</f>
        <v>10.24</v>
      </c>
      <c r="T90" s="5" t="s">
        <v>33</v>
      </c>
      <c r="AL90" s="14" t="s">
        <v>989</v>
      </c>
      <c r="AM90" s="14">
        <f>AM89+AM86+AM83+AM80+AM77+AM73+AM70+AM67+AM64+AM61+AM58+AM55+AM52+AM49+AM46+AM43+AM38</f>
        <v>2.4979062500000007</v>
      </c>
      <c r="AN90" s="14" t="s">
        <v>21</v>
      </c>
      <c r="AX90" s="43"/>
    </row>
    <row r="91" spans="12:50" x14ac:dyDescent="0.25">
      <c r="R91" s="36" t="s">
        <v>990</v>
      </c>
      <c r="S91">
        <f>B51/B50</f>
        <v>0.2307692307692307</v>
      </c>
      <c r="AX91" s="43"/>
    </row>
    <row r="92" spans="12:50" x14ac:dyDescent="0.25">
      <c r="R92" s="36" t="s">
        <v>157</v>
      </c>
      <c r="S92">
        <f>S90*(1-S91)</f>
        <v>7.8769230769230774</v>
      </c>
      <c r="T92" t="s">
        <v>33</v>
      </c>
      <c r="AL92" s="5" t="s">
        <v>991</v>
      </c>
      <c r="AM92" s="5"/>
      <c r="AN92" s="5"/>
      <c r="AX92" s="43"/>
    </row>
    <row r="93" spans="12:50" x14ac:dyDescent="0.25">
      <c r="R93" s="54" t="s">
        <v>295</v>
      </c>
      <c r="S93">
        <f>S92*$F$15*$F$16</f>
        <v>81.92</v>
      </c>
      <c r="T93" t="s">
        <v>119</v>
      </c>
      <c r="AL93" s="5" t="s">
        <v>269</v>
      </c>
      <c r="AM93" s="5">
        <v>12</v>
      </c>
      <c r="AN93" s="5"/>
      <c r="AX93" s="43"/>
    </row>
    <row r="94" spans="12:50" x14ac:dyDescent="0.25">
      <c r="R94" s="36" t="s">
        <v>547</v>
      </c>
      <c r="S94">
        <f>S90*S91</f>
        <v>2.3630769230769224</v>
      </c>
      <c r="T94" t="s">
        <v>33</v>
      </c>
      <c r="AL94" s="5" t="s">
        <v>124</v>
      </c>
      <c r="AM94" s="5">
        <f>B12</f>
        <v>7.9</v>
      </c>
      <c r="AN94" s="5" t="s">
        <v>23</v>
      </c>
      <c r="AX94" s="43"/>
    </row>
    <row r="95" spans="12:50" x14ac:dyDescent="0.25">
      <c r="R95" s="54" t="s">
        <v>992</v>
      </c>
      <c r="S95">
        <f>S94*$F$17</f>
        <v>4.7261538461538452E-2</v>
      </c>
      <c r="T95" t="s">
        <v>21</v>
      </c>
      <c r="AL95" s="5" t="s">
        <v>13</v>
      </c>
      <c r="AM95" s="5">
        <v>0.17</v>
      </c>
      <c r="AN95" s="5" t="s">
        <v>23</v>
      </c>
      <c r="AX95" s="43"/>
    </row>
    <row r="96" spans="12:50" x14ac:dyDescent="0.25">
      <c r="R96" s="54" t="s">
        <v>993</v>
      </c>
      <c r="S96">
        <f>(M76+S79)*F14</f>
        <v>0.97609999999999986</v>
      </c>
      <c r="T96" t="s">
        <v>21</v>
      </c>
      <c r="AL96" s="5" t="s">
        <v>14</v>
      </c>
      <c r="AM96" s="5">
        <v>0.15</v>
      </c>
      <c r="AN96" s="5" t="s">
        <v>23</v>
      </c>
      <c r="AX96" s="43"/>
    </row>
    <row r="97" spans="1:59" x14ac:dyDescent="0.25">
      <c r="AL97" s="5" t="s">
        <v>994</v>
      </c>
      <c r="AM97" s="5">
        <f>AM96*AM95*AM94</f>
        <v>0.20145000000000002</v>
      </c>
      <c r="AN97" s="5" t="s">
        <v>21</v>
      </c>
      <c r="AX97" s="43"/>
    </row>
    <row r="98" spans="1:59" x14ac:dyDescent="0.25">
      <c r="AL98" s="9" t="s">
        <v>995</v>
      </c>
      <c r="AM98" s="9">
        <f>AM97*AM93</f>
        <v>2.4174000000000002</v>
      </c>
      <c r="AN98" s="9" t="s">
        <v>21</v>
      </c>
      <c r="AX98" s="43"/>
    </row>
    <row r="99" spans="1:59" x14ac:dyDescent="0.25">
      <c r="AL99" s="14" t="s">
        <v>996</v>
      </c>
      <c r="AM99" s="14">
        <f>AM98+AM90</f>
        <v>4.9153062500000004</v>
      </c>
      <c r="AN99" s="14" t="s">
        <v>21</v>
      </c>
      <c r="AX99" s="43"/>
    </row>
    <row r="100" spans="1:59" x14ac:dyDescent="0.25">
      <c r="AX100" s="43"/>
    </row>
    <row r="101" spans="1:59" x14ac:dyDescent="0.25">
      <c r="AX101" s="43"/>
    </row>
    <row r="102" spans="1:59" x14ac:dyDescent="0.25">
      <c r="AX102" s="43"/>
    </row>
    <row r="103" spans="1:59" x14ac:dyDescent="0.25">
      <c r="AX103" s="43"/>
    </row>
    <row r="104" spans="1:59" x14ac:dyDescent="0.25">
      <c r="AX104" s="43"/>
    </row>
    <row r="105" spans="1:59" x14ac:dyDescent="0.25">
      <c r="AI105" s="30"/>
      <c r="AJ105" s="30"/>
      <c r="AK105" s="30"/>
      <c r="AL105" s="30"/>
      <c r="AM105" s="30"/>
      <c r="AN105" s="30"/>
      <c r="AO105" s="30"/>
      <c r="AP105" s="30"/>
      <c r="AQ105" s="30"/>
      <c r="AR105" s="30"/>
      <c r="AS105" s="30"/>
      <c r="AT105" s="30"/>
      <c r="AU105" s="30"/>
      <c r="AV105" s="30"/>
      <c r="AW105" s="30"/>
      <c r="AX105" s="35"/>
      <c r="AY105" s="30"/>
      <c r="AZ105" s="30"/>
      <c r="BA105" s="30"/>
      <c r="BB105" s="30"/>
      <c r="BC105" s="30"/>
      <c r="BD105" s="30"/>
      <c r="BE105" s="30"/>
      <c r="BF105" s="30"/>
      <c r="BG105" s="30"/>
    </row>
    <row r="106" spans="1:59" x14ac:dyDescent="0.25">
      <c r="A106" s="19" t="s">
        <v>997</v>
      </c>
      <c r="B106" s="19"/>
      <c r="C106" s="19"/>
      <c r="D106" s="19"/>
      <c r="E106" s="19"/>
      <c r="F106" s="19"/>
      <c r="G106" s="19"/>
      <c r="J106" s="19"/>
      <c r="K106" s="19"/>
      <c r="L106" s="19"/>
      <c r="M106" s="19" t="s">
        <v>524</v>
      </c>
      <c r="N106" s="19"/>
      <c r="O106" s="19"/>
      <c r="P106" s="19"/>
      <c r="Q106" s="19"/>
      <c r="R106" s="19"/>
      <c r="S106" s="19"/>
      <c r="T106" s="19"/>
      <c r="U106" s="19"/>
      <c r="V106" s="19"/>
      <c r="W106" s="19"/>
      <c r="X106" s="19"/>
      <c r="Y106" s="19"/>
      <c r="Z106" s="19"/>
      <c r="AA106" s="19"/>
      <c r="AB106" s="19"/>
      <c r="AC106" s="19"/>
      <c r="AD106" s="19"/>
      <c r="AE106" s="19"/>
      <c r="AF106" s="19"/>
      <c r="AG106" s="19"/>
      <c r="AH106" s="19"/>
    </row>
    <row r="107" spans="1:59" x14ac:dyDescent="0.25">
      <c r="A107" t="s">
        <v>145</v>
      </c>
      <c r="B107">
        <f>K112</f>
        <v>123.63500000000001</v>
      </c>
      <c r="C107" t="s">
        <v>33</v>
      </c>
      <c r="D107" t="s">
        <v>521</v>
      </c>
      <c r="E107">
        <v>3.9</v>
      </c>
      <c r="F107" t="s">
        <v>522</v>
      </c>
      <c r="G107">
        <v>4</v>
      </c>
      <c r="J107" t="s">
        <v>998</v>
      </c>
      <c r="M107" t="s">
        <v>145</v>
      </c>
      <c r="N107">
        <f>BR25</f>
        <v>201.33910913872455</v>
      </c>
      <c r="O107" t="s">
        <v>33</v>
      </c>
      <c r="P107" t="s">
        <v>522</v>
      </c>
      <c r="Q107">
        <v>6</v>
      </c>
    </row>
    <row r="108" spans="1:59" x14ac:dyDescent="0.25">
      <c r="J108" t="s">
        <v>85</v>
      </c>
      <c r="K108">
        <f>((7.7*C10*10^-2)*(3.2*C10*10^-2))+((6.7*C10*10^-2)*(6.8*C10*10^-2))+((7.6*C10*10^-2)*(8*C10*10^-2))</f>
        <v>32.75</v>
      </c>
      <c r="L108" t="s">
        <v>33</v>
      </c>
    </row>
    <row r="109" spans="1:59" x14ac:dyDescent="0.25">
      <c r="A109" s="58" t="s">
        <v>525</v>
      </c>
      <c r="B109" s="58" t="s">
        <v>526</v>
      </c>
      <c r="C109" s="58" t="s">
        <v>198</v>
      </c>
      <c r="D109" s="58" t="s">
        <v>527</v>
      </c>
      <c r="E109" s="58" t="s">
        <v>528</v>
      </c>
      <c r="F109" s="58" t="s">
        <v>529</v>
      </c>
      <c r="G109" s="58" t="s">
        <v>530</v>
      </c>
      <c r="K109">
        <f>((6.8*C10*10^-2)*(5.1*C10*10^-2))+((6.8*C10*10^-2)*(6.4*C10*10^-2))+((7.6*C10*10^-2)*(6.4*C10*10^-2))+((7.7*C10*10^-2)*(3*C10*10^-2))</f>
        <v>37.484999999999999</v>
      </c>
      <c r="L109" t="s">
        <v>33</v>
      </c>
      <c r="M109" s="58" t="str">
        <f>A109</f>
        <v xml:space="preserve">Section </v>
      </c>
      <c r="N109" s="58" t="str">
        <f>B109</f>
        <v xml:space="preserve">Materials </v>
      </c>
      <c r="O109" s="58" t="s">
        <v>999</v>
      </c>
      <c r="P109" s="58" t="str">
        <f>D109</f>
        <v>Unit</v>
      </c>
      <c r="Q109" s="58" t="s">
        <v>1000</v>
      </c>
      <c r="R109" s="58" t="s">
        <v>527</v>
      </c>
      <c r="S109" s="58" t="s">
        <v>1001</v>
      </c>
      <c r="T109" s="58" t="s">
        <v>527</v>
      </c>
      <c r="U109" s="58" t="s">
        <v>1002</v>
      </c>
      <c r="V109" s="58" t="s">
        <v>1003</v>
      </c>
      <c r="X109" s="58" t="s">
        <v>528</v>
      </c>
      <c r="Y109" s="58" t="s">
        <v>1004</v>
      </c>
      <c r="Z109" s="58" t="s">
        <v>530</v>
      </c>
    </row>
    <row r="110" spans="1:59" x14ac:dyDescent="0.25">
      <c r="A110" s="59" t="s">
        <v>64</v>
      </c>
      <c r="B110" s="59"/>
      <c r="C110" s="59"/>
      <c r="D110" s="59"/>
      <c r="E110" s="59"/>
      <c r="F110" s="59"/>
      <c r="G110" s="59"/>
      <c r="J110" t="s">
        <v>86</v>
      </c>
      <c r="K110">
        <f>((6*C10*10^-2)*(7.1*C10*10^-2))+((0.7*C10*10^-2)*(2.8*C10*10^-2))+((6*C10*10^-2)*(7.1*C10*10^-2))+((0.9*C10*10^-2)*(2.8*C10*10^-2))+((3.6*C10*10^-2)*(6*C10*10^-2))</f>
        <v>27.82</v>
      </c>
      <c r="L110" t="s">
        <v>33</v>
      </c>
      <c r="M110" s="63" t="str">
        <f>A114</f>
        <v>Exterior wall</v>
      </c>
      <c r="N110" s="64"/>
      <c r="O110" s="65"/>
      <c r="P110" s="63"/>
      <c r="Q110" s="59"/>
      <c r="R110" s="59"/>
      <c r="S110" s="59"/>
      <c r="T110" s="59"/>
      <c r="U110" s="59"/>
      <c r="X110" s="59"/>
      <c r="Y110" s="59"/>
      <c r="Z110" s="59"/>
    </row>
    <row r="111" spans="1:59" x14ac:dyDescent="0.25">
      <c r="A111" s="58" t="s">
        <v>764</v>
      </c>
      <c r="B111" t="s">
        <v>1005</v>
      </c>
      <c r="C111" s="68">
        <f>AE43</f>
        <v>7273.0928308823513</v>
      </c>
      <c r="D111" t="s">
        <v>119</v>
      </c>
      <c r="E111" s="61">
        <f>C111/$B$107/$CK$5</f>
        <v>0.47061707968664868</v>
      </c>
      <c r="G111" s="61">
        <f>E111/($E$107*$G$107)</f>
        <v>3.0167761518374917E-2</v>
      </c>
      <c r="K111">
        <f>((6*C10*10^-2)*(6.6*C10*10^-2))+((1*C10*10^-2)*(2.7*C10*10^-2))+((6*C10*10^-2)*(6.6*C10*10^-2))+((2.6*C10*10^-2)*(0.7*C10*10^-2))+((3.1*C10*10^-2)*(6*C10*10^-2))</f>
        <v>25.58</v>
      </c>
      <c r="L111" t="s">
        <v>33</v>
      </c>
      <c r="M111" s="58" t="str">
        <f>A115</f>
        <v>Bricks</v>
      </c>
      <c r="N111" t="str">
        <f>B115</f>
        <v>Tile</v>
      </c>
      <c r="Q111" s="68">
        <f>BS30</f>
        <v>20760</v>
      </c>
      <c r="R111" t="s">
        <v>119</v>
      </c>
      <c r="U111" t="s">
        <v>1006</v>
      </c>
      <c r="X111" s="61">
        <f>Q111/$N$107/$CK$7</f>
        <v>1.2422846360931075</v>
      </c>
      <c r="Z111" s="61">
        <f>X111/($E$107*$Q$107)</f>
        <v>5.3089087012525966E-2</v>
      </c>
    </row>
    <row r="112" spans="1:59" x14ac:dyDescent="0.25">
      <c r="A112" s="58" t="s">
        <v>535</v>
      </c>
      <c r="B112" t="s">
        <v>536</v>
      </c>
      <c r="C112" s="68">
        <f>AE46</f>
        <v>1559.6769374999994</v>
      </c>
      <c r="D112" t="s">
        <v>119</v>
      </c>
      <c r="E112" s="61">
        <f>C112/$B$107/$CK$5</f>
        <v>0.10092138552998742</v>
      </c>
      <c r="G112" s="61">
        <f>E112/($E$107*$G$107)</f>
        <v>6.4693195852556038E-3</v>
      </c>
      <c r="J112" t="s">
        <v>783</v>
      </c>
      <c r="K112">
        <f>K108+K109+K110+K111</f>
        <v>123.63500000000001</v>
      </c>
      <c r="L112" t="s">
        <v>33</v>
      </c>
      <c r="M112" s="58" t="str">
        <f>A116</f>
        <v>Mortar</v>
      </c>
      <c r="N112" t="str">
        <f>B116</f>
        <v>Lime</v>
      </c>
      <c r="O112" s="69">
        <f>(CF43*C112)</f>
        <v>1559.6769374999994</v>
      </c>
      <c r="P112" t="str">
        <f>D116</f>
        <v xml:space="preserve">kg </v>
      </c>
      <c r="Q112" s="68">
        <f>BS31</f>
        <v>4451.8740479999988</v>
      </c>
      <c r="R112" t="s">
        <v>119</v>
      </c>
      <c r="S112">
        <f>(BS31*CH43)</f>
        <v>4451.8740479999988</v>
      </c>
      <c r="T112" t="s">
        <v>119</v>
      </c>
      <c r="U112" t="str">
        <f>CC43</f>
        <v>Exterior wall, plaster, tegl</v>
      </c>
      <c r="V112" s="68">
        <f>O112+Q112</f>
        <v>6011.5509854999982</v>
      </c>
      <c r="X112" s="61">
        <f>(O112/$N$107/CK5)+((Q112+S112)/N107/CK7)</f>
        <v>0.59477510086365371</v>
      </c>
      <c r="Z112" s="61">
        <f>X112/($E$107*$Q$107)</f>
        <v>2.5417739353147596E-2</v>
      </c>
    </row>
    <row r="113" spans="1:26" x14ac:dyDescent="0.25">
      <c r="C113" s="68"/>
      <c r="E113" s="69"/>
      <c r="G113" s="61"/>
      <c r="O113" s="69"/>
      <c r="Q113" s="68"/>
      <c r="V113" s="68"/>
      <c r="X113" s="61"/>
      <c r="Z113" s="61"/>
    </row>
    <row r="114" spans="1:26" x14ac:dyDescent="0.25">
      <c r="A114" s="63" t="s">
        <v>534</v>
      </c>
      <c r="B114" s="64"/>
      <c r="C114" s="82"/>
      <c r="D114" s="64"/>
      <c r="E114" s="65"/>
      <c r="F114" s="66"/>
      <c r="G114" s="70"/>
      <c r="M114" s="59" t="str">
        <f>A118</f>
        <v xml:space="preserve">Interior wall </v>
      </c>
      <c r="N114" s="59"/>
      <c r="O114" s="73"/>
      <c r="P114" s="59"/>
      <c r="Q114" s="71"/>
      <c r="R114" s="59"/>
      <c r="S114" s="59"/>
      <c r="T114" s="59"/>
      <c r="U114" s="59"/>
      <c r="V114" s="68"/>
      <c r="X114" s="70"/>
      <c r="Z114" s="61"/>
    </row>
    <row r="115" spans="1:26" x14ac:dyDescent="0.25">
      <c r="A115" s="58" t="s">
        <v>260</v>
      </c>
      <c r="B115" t="s">
        <v>541</v>
      </c>
      <c r="C115" s="68">
        <f>E59</f>
        <v>24092.5</v>
      </c>
      <c r="D115" t="s">
        <v>52</v>
      </c>
      <c r="E115" s="61">
        <f>C115/$B$107/$CK$5</f>
        <v>1.5589436648198325</v>
      </c>
      <c r="G115" s="61">
        <f>E115/($E$107*$G$107)</f>
        <v>9.9932286206399518E-2</v>
      </c>
      <c r="M115" s="58" t="s">
        <v>542</v>
      </c>
      <c r="N115" t="s">
        <v>541</v>
      </c>
      <c r="Q115" s="68">
        <f>BS34</f>
        <v>20760</v>
      </c>
      <c r="R115" t="s">
        <v>119</v>
      </c>
      <c r="U115" t="s">
        <v>1006</v>
      </c>
      <c r="V115" s="68"/>
      <c r="X115" s="61">
        <f>(Q115/$N$107/$CK$7)</f>
        <v>1.2422846360931075</v>
      </c>
      <c r="Z115" s="61">
        <f>X115/($E$107*$Q$107)</f>
        <v>5.3089087012525966E-2</v>
      </c>
    </row>
    <row r="116" spans="1:26" x14ac:dyDescent="0.25">
      <c r="A116" s="58" t="s">
        <v>537</v>
      </c>
      <c r="B116" t="s">
        <v>538</v>
      </c>
      <c r="C116" s="68">
        <f>E60</f>
        <v>5166.5113439999986</v>
      </c>
      <c r="D116" t="s">
        <v>52</v>
      </c>
      <c r="E116" s="61">
        <f>C116/$B$107/$CK$5</f>
        <v>0.33430736241355596</v>
      </c>
      <c r="G116" s="61">
        <f>E116/($E$107*$G$107)</f>
        <v>2.1429959129074101E-2</v>
      </c>
      <c r="M116" s="58" t="str">
        <f>A120</f>
        <v>Mortar</v>
      </c>
      <c r="N116" t="str">
        <f>B120</f>
        <v>Lime</v>
      </c>
      <c r="O116" s="69">
        <f>(C120*CF48)</f>
        <v>5166.5113439999996</v>
      </c>
      <c r="P116" t="str">
        <f>D120</f>
        <v xml:space="preserve">kg </v>
      </c>
      <c r="Q116" s="68">
        <f>BS35</f>
        <v>4451.8740479999988</v>
      </c>
      <c r="R116" t="s">
        <v>119</v>
      </c>
      <c r="S116">
        <f>(BS35*CH48)</f>
        <v>4451.8740479999988</v>
      </c>
      <c r="T116" t="s">
        <v>119</v>
      </c>
      <c r="U116" t="str">
        <f>CC48</f>
        <v>Interior wall, Tegl</v>
      </c>
      <c r="V116" s="68">
        <f>O116+S116</f>
        <v>9618.3853919999983</v>
      </c>
      <c r="X116" s="61">
        <f>(O116/$N$107/$CK$5)+((Q116+S116)/$N$107/$CK$7)</f>
        <v>0.73808891294632695</v>
      </c>
      <c r="Z116" s="61">
        <f>X116/($E$107*$Q$107)</f>
        <v>3.1542261237022522E-2</v>
      </c>
    </row>
    <row r="117" spans="1:26" x14ac:dyDescent="0.25">
      <c r="C117" s="68"/>
      <c r="E117" s="69"/>
      <c r="G117" s="61"/>
      <c r="M117" s="58" t="str">
        <f>A121</f>
        <v>Mortar, Plaster</v>
      </c>
      <c r="N117" t="str">
        <f>B121</f>
        <v>Lime</v>
      </c>
      <c r="O117" s="69">
        <f>(C121*CF45)</f>
        <v>7652.6774999999998</v>
      </c>
      <c r="P117" t="str">
        <f>D121</f>
        <v xml:space="preserve">kg </v>
      </c>
      <c r="Q117" s="68">
        <f>BS36</f>
        <v>3225.4950000000003</v>
      </c>
      <c r="R117" t="s">
        <v>119</v>
      </c>
      <c r="S117">
        <f>(BS36*CH45)</f>
        <v>3225.4950000000003</v>
      </c>
      <c r="T117" t="s">
        <v>119</v>
      </c>
      <c r="U117" t="str">
        <f>CC45</f>
        <v>Interior wall, plaster, kalkmørtel</v>
      </c>
      <c r="V117" s="68">
        <f>O117+S117</f>
        <v>10878.172500000001</v>
      </c>
      <c r="X117" s="61">
        <f>(O117/$N$107/$CK$5)+((Q117+S117)/$N$107/$CK$7)</f>
        <v>0.69010035694855243</v>
      </c>
      <c r="Z117" s="61">
        <f>X117/($E$107*$Q$107)</f>
        <v>2.9491468245664634E-2</v>
      </c>
    </row>
    <row r="118" spans="1:26" x14ac:dyDescent="0.25">
      <c r="A118" s="59" t="s">
        <v>542</v>
      </c>
      <c r="B118" s="59"/>
      <c r="C118" s="71"/>
      <c r="D118" s="59"/>
      <c r="E118" s="73"/>
      <c r="F118" s="59"/>
      <c r="G118" s="70"/>
      <c r="O118" s="69"/>
      <c r="Q118" s="68"/>
      <c r="V118" s="68"/>
      <c r="X118" s="61"/>
      <c r="Z118" s="61"/>
    </row>
    <row r="119" spans="1:26" x14ac:dyDescent="0.25">
      <c r="A119" s="58" t="s">
        <v>260</v>
      </c>
      <c r="B119" t="s">
        <v>541</v>
      </c>
      <c r="C119" s="68">
        <f>W43</f>
        <v>24092.5</v>
      </c>
      <c r="D119" t="s">
        <v>52</v>
      </c>
      <c r="E119" s="61">
        <f>C119/$B$107/$CK$5</f>
        <v>1.5589436648198325</v>
      </c>
      <c r="G119" s="61">
        <f>E119/($E$107*$G$107)</f>
        <v>9.9932286206399518E-2</v>
      </c>
      <c r="M119" s="59" t="str">
        <f>A123</f>
        <v xml:space="preserve">Doors/windows </v>
      </c>
      <c r="N119" s="59"/>
      <c r="O119" s="73"/>
      <c r="P119" s="59"/>
      <c r="Q119" s="71"/>
      <c r="R119" s="59"/>
      <c r="S119" s="59"/>
      <c r="T119" s="59"/>
      <c r="U119" s="59"/>
      <c r="V119" s="68"/>
      <c r="X119" s="70"/>
      <c r="Z119" s="61"/>
    </row>
    <row r="120" spans="1:26" x14ac:dyDescent="0.25">
      <c r="A120" s="58" t="s">
        <v>537</v>
      </c>
      <c r="B120" t="s">
        <v>538</v>
      </c>
      <c r="C120" s="68">
        <f>W46</f>
        <v>5166.5113439999996</v>
      </c>
      <c r="D120" t="s">
        <v>52</v>
      </c>
      <c r="E120" s="61">
        <f>C120/$B$107/$CK$5</f>
        <v>0.33430736241355602</v>
      </c>
      <c r="G120" s="61">
        <f>E120/($E$107*$G$107)</f>
        <v>2.1429959129074104E-2</v>
      </c>
      <c r="M120" s="58" t="str">
        <f>A124</f>
        <v xml:space="preserve">Doors, outside </v>
      </c>
      <c r="N120" t="str">
        <f>B124</f>
        <v xml:space="preserve">Wood </v>
      </c>
      <c r="O120" s="69">
        <f>(C124*CF24)</f>
        <v>0.38540000000000002</v>
      </c>
      <c r="P120" t="str">
        <f>D124</f>
        <v>m3</v>
      </c>
      <c r="Q120" s="68"/>
      <c r="U120" t="str">
        <f>CC24</f>
        <v>Front door, wood</v>
      </c>
      <c r="V120" s="68">
        <f>O120</f>
        <v>0.38540000000000002</v>
      </c>
      <c r="X120" s="61">
        <f>(O120/$N$107/$CK$5)</f>
        <v>1.5313467975442595E-5</v>
      </c>
      <c r="Z120" s="61">
        <f>X120/($E$107*$Q$107)</f>
        <v>6.5442170835224766E-7</v>
      </c>
    </row>
    <row r="121" spans="1:26" x14ac:dyDescent="0.25">
      <c r="A121" s="58" t="s">
        <v>540</v>
      </c>
      <c r="B121" t="s">
        <v>538</v>
      </c>
      <c r="C121" s="68">
        <f>W53</f>
        <v>3826.3387499999999</v>
      </c>
      <c r="D121" t="s">
        <v>52</v>
      </c>
      <c r="E121" s="61">
        <f>C121/$B$107/$CK$5</f>
        <v>0.24758935576495328</v>
      </c>
      <c r="G121" s="61">
        <f>E121/($E$107*$G$107)</f>
        <v>1.5871112549035466E-2</v>
      </c>
      <c r="O121">
        <f>(C125*CF24)</f>
        <v>9.6349999999999998</v>
      </c>
      <c r="P121" t="s">
        <v>33</v>
      </c>
      <c r="V121" s="68">
        <f>O121</f>
        <v>9.6349999999999998</v>
      </c>
    </row>
    <row r="122" spans="1:26" x14ac:dyDescent="0.25">
      <c r="C122" s="68"/>
      <c r="E122" s="69"/>
      <c r="G122" s="61"/>
      <c r="M122" s="58" t="str">
        <f>A126</f>
        <v xml:space="preserve">Doors, inside </v>
      </c>
      <c r="N122" t="str">
        <f>B126</f>
        <v xml:space="preserve">Wood </v>
      </c>
      <c r="O122" s="69">
        <f>(C126*CF27)</f>
        <v>1.9521999999999997</v>
      </c>
      <c r="P122" t="str">
        <f>D126</f>
        <v>m3</v>
      </c>
      <c r="Q122" s="68">
        <f>BM39</f>
        <v>0.78068205128205137</v>
      </c>
      <c r="R122" t="s">
        <v>21</v>
      </c>
      <c r="S122">
        <f>(BM39*CH27)</f>
        <v>0.78068205128205137</v>
      </c>
      <c r="T122" t="s">
        <v>21</v>
      </c>
      <c r="U122" t="str">
        <f>CC27</f>
        <v>Interior door, ældet træ</v>
      </c>
      <c r="V122" s="68">
        <f>O122+S122</f>
        <v>2.7328820512820511</v>
      </c>
      <c r="X122" s="61">
        <f>(O122/$N$107/$CK$5)+((Q122+S122)/$N$107/$CK$7)</f>
        <v>1.7100113257092713E-4</v>
      </c>
      <c r="Z122" s="61">
        <f>X122/($E$107*$Q$107)</f>
        <v>7.3077407081592797E-6</v>
      </c>
    </row>
    <row r="123" spans="1:26" x14ac:dyDescent="0.25">
      <c r="A123" s="59" t="s">
        <v>543</v>
      </c>
      <c r="B123" s="59"/>
      <c r="C123" s="71"/>
      <c r="D123" s="59"/>
      <c r="E123" s="73"/>
      <c r="F123" s="59"/>
      <c r="G123" s="70"/>
      <c r="O123">
        <f>(C127*CF27)</f>
        <v>24.82</v>
      </c>
      <c r="P123" t="s">
        <v>33</v>
      </c>
      <c r="Q123" s="69">
        <f>BS40</f>
        <v>19.517051282051284</v>
      </c>
      <c r="R123" t="s">
        <v>33</v>
      </c>
      <c r="S123">
        <f>(BS40*CH27)</f>
        <v>19.517051282051284</v>
      </c>
      <c r="T123" t="s">
        <v>33</v>
      </c>
      <c r="V123" s="68">
        <f>O123+S123</f>
        <v>44.337051282051284</v>
      </c>
    </row>
    <row r="124" spans="1:26" x14ac:dyDescent="0.25">
      <c r="A124" s="58" t="s">
        <v>544</v>
      </c>
      <c r="B124" t="s">
        <v>545</v>
      </c>
      <c r="C124" s="68">
        <f>E66</f>
        <v>0.19270000000000001</v>
      </c>
      <c r="D124" t="s">
        <v>21</v>
      </c>
      <c r="E124" s="61">
        <f>C124/$B$107/$CK$5</f>
        <v>1.2468961054717516E-5</v>
      </c>
      <c r="G124" s="61">
        <f>E124/($E$107*$G$107)</f>
        <v>7.9929237530240484E-7</v>
      </c>
      <c r="M124" s="58" t="str">
        <f>A128</f>
        <v>Window frame</v>
      </c>
      <c r="N124" t="str">
        <f>B128</f>
        <v xml:space="preserve">Wood </v>
      </c>
      <c r="O124" s="69">
        <f>(C128*CF26)</f>
        <v>0.17012307692307688</v>
      </c>
      <c r="P124" t="str">
        <f>D128</f>
        <v>m3</v>
      </c>
      <c r="Q124" s="68">
        <f>AZ65</f>
        <v>5.4599999999999989E-2</v>
      </c>
      <c r="R124" t="s">
        <v>21</v>
      </c>
      <c r="S124">
        <f>(AZ65*CH26)</f>
        <v>5.4599999999999989E-2</v>
      </c>
      <c r="T124" t="s">
        <v>33</v>
      </c>
      <c r="U124" t="str">
        <f>CC26</f>
        <v xml:space="preserve">Window frame, Konstruktionstræ </v>
      </c>
      <c r="V124" s="68">
        <f>O124+S124</f>
        <v>0.22472307692307686</v>
      </c>
      <c r="X124" s="61">
        <f>(O124/$N$107/$CK$5)+((Q124+S124)/$N$107/$CK$7)</f>
        <v>1.3294224244047832E-5</v>
      </c>
      <c r="Z124" s="61">
        <f>X124/($E$107*$Q$107)</f>
        <v>5.681292411986253E-7</v>
      </c>
    </row>
    <row r="125" spans="1:26" x14ac:dyDescent="0.25">
      <c r="C125">
        <f>E65</f>
        <v>4.8174999999999999</v>
      </c>
      <c r="D125" t="s">
        <v>33</v>
      </c>
      <c r="O125">
        <f>(C129*CF26)</f>
        <v>8.5061538461538433</v>
      </c>
      <c r="P125" t="s">
        <v>33</v>
      </c>
      <c r="Q125" s="69">
        <f>BS41</f>
        <v>2.7299999999999995</v>
      </c>
      <c r="R125" t="s">
        <v>33</v>
      </c>
      <c r="S125">
        <f>(BS41*CH26)</f>
        <v>2.7299999999999995</v>
      </c>
      <c r="T125" t="s">
        <v>33</v>
      </c>
      <c r="V125" s="68">
        <f>O125+S125</f>
        <v>11.236153846153844</v>
      </c>
    </row>
    <row r="126" spans="1:26" x14ac:dyDescent="0.25">
      <c r="A126" s="58" t="s">
        <v>546</v>
      </c>
      <c r="B126" t="s">
        <v>545</v>
      </c>
      <c r="C126" s="68">
        <f>S96</f>
        <v>0.97609999999999986</v>
      </c>
      <c r="D126" t="s">
        <v>21</v>
      </c>
      <c r="E126" s="61">
        <f>C126/$B$107/$CK$5</f>
        <v>6.3160108383548337E-5</v>
      </c>
      <c r="G126" s="61">
        <f>E126/($E$107*$G$107)</f>
        <v>4.0487248963813041E-6</v>
      </c>
      <c r="M126" s="58" t="str">
        <f>A130</f>
        <v>Window glass</v>
      </c>
      <c r="N126" t="str">
        <f>B130</f>
        <v>Glass</v>
      </c>
      <c r="O126" s="69">
        <f>(C130*CF25)</f>
        <v>334.19200000000001</v>
      </c>
      <c r="P126" t="str">
        <f>D130</f>
        <v>kg</v>
      </c>
      <c r="Q126" s="68">
        <f>BS42</f>
        <v>123.032</v>
      </c>
      <c r="R126" t="s">
        <v>119</v>
      </c>
      <c r="S126">
        <f>(BS42*CH25)</f>
        <v>123.032</v>
      </c>
      <c r="T126" t="s">
        <v>119</v>
      </c>
      <c r="U126" t="str">
        <f>CC25</f>
        <v>Window glass</v>
      </c>
      <c r="V126" s="68">
        <f t="shared" ref="V126" si="11">O126+S126</f>
        <v>457.22399999999999</v>
      </c>
      <c r="X126" s="61">
        <f>(O126/$N$107/$CK$5)+((Q126+S126)/$N$107/$CK$7)</f>
        <v>2.8003315054599492E-2</v>
      </c>
      <c r="Z126" s="61">
        <f t="shared" ref="Z126" si="12">X126/($E$107*$Q$107)</f>
        <v>1.196722865581175E-3</v>
      </c>
    </row>
    <row r="127" spans="1:26" x14ac:dyDescent="0.25">
      <c r="C127">
        <f>S79</f>
        <v>12.41</v>
      </c>
      <c r="D127" t="s">
        <v>33</v>
      </c>
      <c r="O127" s="69"/>
      <c r="Q127" s="68"/>
      <c r="V127" s="68"/>
      <c r="X127" s="61"/>
      <c r="Z127" s="61"/>
    </row>
    <row r="128" spans="1:26" x14ac:dyDescent="0.25">
      <c r="A128" s="58" t="s">
        <v>547</v>
      </c>
      <c r="B128" t="s">
        <v>545</v>
      </c>
      <c r="C128" s="68">
        <f>E64+S95</f>
        <v>8.5061538461538438E-2</v>
      </c>
      <c r="D128" t="s">
        <v>21</v>
      </c>
      <c r="E128" s="61">
        <f>C128/$B$107/$CK$5</f>
        <v>5.5040426068047676E-6</v>
      </c>
      <c r="G128" s="61">
        <f>E128/($E$107*$G$107)</f>
        <v>3.5282324402594665E-7</v>
      </c>
      <c r="M128" s="59" t="str">
        <f>A132</f>
        <v>Partitions</v>
      </c>
      <c r="N128" s="59"/>
      <c r="O128" s="73"/>
      <c r="P128" s="59"/>
      <c r="Q128" s="71"/>
      <c r="R128" s="59"/>
      <c r="S128" s="59"/>
      <c r="T128" s="59"/>
      <c r="U128" s="59"/>
      <c r="V128" s="68"/>
      <c r="X128" s="70"/>
      <c r="Z128" s="61"/>
    </row>
    <row r="129" spans="1:26" x14ac:dyDescent="0.25">
      <c r="C129">
        <f>E63+S94</f>
        <v>4.2530769230769216</v>
      </c>
      <c r="D129" t="s">
        <v>33</v>
      </c>
      <c r="M129" s="58" t="str">
        <f>A133</f>
        <v>Bricks</v>
      </c>
      <c r="N129" t="str">
        <f>B133</f>
        <v>Tile</v>
      </c>
      <c r="O129" s="69">
        <f>(C133*CF48)</f>
        <v>23032.5</v>
      </c>
      <c r="P129" t="str">
        <f>D133</f>
        <v>kg</v>
      </c>
      <c r="Q129" s="68">
        <f>BS45</f>
        <v>17295</v>
      </c>
      <c r="R129" t="s">
        <v>119</v>
      </c>
      <c r="S129">
        <f>(BS45*CH48)</f>
        <v>17295</v>
      </c>
      <c r="T129" t="s">
        <v>119</v>
      </c>
      <c r="U129" t="str">
        <f>CC48</f>
        <v>Interior wall, Tegl</v>
      </c>
      <c r="V129" s="68">
        <f>O129+S129</f>
        <v>40327.5</v>
      </c>
      <c r="X129" s="61">
        <f>(O129/$N$107/$CK$5)+((Q129+S129)/$N$107/$CK$7)</f>
        <v>2.9850484117206846</v>
      </c>
      <c r="Z129" s="61">
        <f t="shared" ref="Z129:Z131" si="13">X129/($E$107*$Q$107)</f>
        <v>0.12756617144105489</v>
      </c>
    </row>
    <row r="130" spans="1:26" x14ac:dyDescent="0.25">
      <c r="A130" s="58" t="s">
        <v>157</v>
      </c>
      <c r="B130" t="s">
        <v>511</v>
      </c>
      <c r="C130" s="68">
        <f>E62+S93</f>
        <v>167.096</v>
      </c>
      <c r="D130" t="s">
        <v>119</v>
      </c>
      <c r="E130" s="61">
        <f>C130/$B$107/$CK$5</f>
        <v>1.0812213370000403E-2</v>
      </c>
      <c r="G130" s="61">
        <f>E130/($E$107*$G$107)</f>
        <v>6.9309060064105148E-4</v>
      </c>
      <c r="M130" s="58" t="str">
        <f>A134</f>
        <v>Mortar</v>
      </c>
      <c r="N130" t="str">
        <f>B134</f>
        <v>Lime</v>
      </c>
      <c r="O130" s="69">
        <f>(C134*CF48)</f>
        <v>4939.1998559999984</v>
      </c>
      <c r="P130" t="str">
        <f>D134</f>
        <v>kg</v>
      </c>
      <c r="Q130" s="68">
        <f>BS46</f>
        <v>3708.8228159999985</v>
      </c>
      <c r="R130" t="s">
        <v>119</v>
      </c>
      <c r="S130">
        <f>(BS46*CH48)</f>
        <v>3708.8228159999985</v>
      </c>
      <c r="T130" t="s">
        <v>119</v>
      </c>
      <c r="U130" t="str">
        <f>CC48</f>
        <v>Interior wall, Tegl</v>
      </c>
      <c r="V130" s="68">
        <f>O130+S130</f>
        <v>8648.0226719999973</v>
      </c>
      <c r="X130" s="61">
        <f>(O130/$N$107/$CK$5)+((Q130+S130)/$N$107/$CK$7)</f>
        <v>0.64012810964175948</v>
      </c>
      <c r="Z130" s="61">
        <f t="shared" si="13"/>
        <v>2.7355902121442715E-2</v>
      </c>
    </row>
    <row r="131" spans="1:26" x14ac:dyDescent="0.25">
      <c r="C131" s="68"/>
      <c r="E131" s="69"/>
      <c r="G131" s="61"/>
      <c r="M131" s="58" t="str">
        <f>A135</f>
        <v>Mortar, Plaster</v>
      </c>
      <c r="N131" t="str">
        <f>B135</f>
        <v>Lime</v>
      </c>
      <c r="O131" s="69">
        <f>(C135*CF45)</f>
        <v>14313.660000000003</v>
      </c>
      <c r="P131" t="str">
        <f>D135</f>
        <v>kg</v>
      </c>
      <c r="Q131" s="68">
        <f>BS47</f>
        <v>5374.0661538461545</v>
      </c>
      <c r="R131" t="s">
        <v>119</v>
      </c>
      <c r="S131">
        <f>(BS47*CH45)</f>
        <v>5374.0661538461545</v>
      </c>
      <c r="T131" t="s">
        <v>119</v>
      </c>
      <c r="U131" t="str">
        <f>CC45</f>
        <v>Interior wall, plaster, kalkmørtel</v>
      </c>
      <c r="V131" s="68">
        <f>O131+S131</f>
        <v>19687.726153846157</v>
      </c>
      <c r="X131" s="61">
        <f>(O131/$N$107/$CK$5)+((Q131+S131)/$N$107/$CK$7)</f>
        <v>1.2119098520698968</v>
      </c>
      <c r="Z131" s="61">
        <f t="shared" si="13"/>
        <v>5.1791019319226361E-2</v>
      </c>
    </row>
    <row r="132" spans="1:26" x14ac:dyDescent="0.25">
      <c r="A132" s="59" t="s">
        <v>73</v>
      </c>
      <c r="B132" s="59"/>
      <c r="C132" s="71"/>
      <c r="D132" s="59"/>
      <c r="E132" s="73"/>
      <c r="F132" s="59"/>
      <c r="G132" s="70"/>
      <c r="O132" s="69"/>
      <c r="Q132" s="68"/>
      <c r="V132" s="68"/>
      <c r="X132" s="61"/>
      <c r="Z132" s="61"/>
    </row>
    <row r="133" spans="1:26" x14ac:dyDescent="0.25">
      <c r="A133" s="58" t="s">
        <v>260</v>
      </c>
      <c r="B133" t="s">
        <v>541</v>
      </c>
      <c r="C133" s="68">
        <f>M80+V28</f>
        <v>23032.5</v>
      </c>
      <c r="D133" t="s">
        <v>119</v>
      </c>
      <c r="E133" s="61">
        <f>C133/$B$107/$CK$5</f>
        <v>1.4903546730294819</v>
      </c>
      <c r="G133" s="61">
        <f t="shared" ref="G133:G135" si="14">E133/($E$107*$G$107)</f>
        <v>9.5535555963428331E-2</v>
      </c>
      <c r="M133" s="59" t="str">
        <f t="shared" ref="M133:N139" si="15">A137</f>
        <v>horizontal division</v>
      </c>
      <c r="N133" s="59"/>
      <c r="O133" s="73"/>
      <c r="P133" s="59"/>
      <c r="Q133" s="71"/>
      <c r="R133" s="59"/>
      <c r="S133" s="59"/>
      <c r="T133" s="59"/>
      <c r="U133" s="59"/>
      <c r="V133" s="68"/>
      <c r="X133" s="70"/>
      <c r="Z133" s="61"/>
    </row>
    <row r="134" spans="1:26" x14ac:dyDescent="0.25">
      <c r="A134" s="58" t="s">
        <v>537</v>
      </c>
      <c r="B134" t="s">
        <v>538</v>
      </c>
      <c r="C134" s="68">
        <f>M83+V31</f>
        <v>4939.1998559999984</v>
      </c>
      <c r="D134" t="s">
        <v>119</v>
      </c>
      <c r="E134" s="61">
        <f>C134/$B$107/$CK$5</f>
        <v>0.31959880978687255</v>
      </c>
      <c r="G134" s="61">
        <f t="shared" si="14"/>
        <v>2.048710319146619E-2</v>
      </c>
      <c r="M134" s="58" t="str">
        <f t="shared" si="15"/>
        <v xml:space="preserve">Beams </v>
      </c>
      <c r="N134" t="str">
        <f t="shared" si="15"/>
        <v>Wood</v>
      </c>
      <c r="O134" s="69">
        <f>(C138*CF14)</f>
        <v>4.9153062500000004</v>
      </c>
      <c r="P134" t="str">
        <f>D138</f>
        <v>m3</v>
      </c>
      <c r="Q134" s="68">
        <f t="shared" ref="Q134:Q141" si="16">BS50</f>
        <v>4.9153062500000004</v>
      </c>
      <c r="R134" t="s">
        <v>21</v>
      </c>
      <c r="S134">
        <f>(BS50*CH14)</f>
        <v>0</v>
      </c>
      <c r="T134" t="s">
        <v>21</v>
      </c>
      <c r="U134" t="str">
        <f>CC14</f>
        <v>Horisontal devition, wood</v>
      </c>
      <c r="V134" s="68">
        <f>O134+S134</f>
        <v>4.9153062500000004</v>
      </c>
      <c r="X134" s="61">
        <f>(O134/$N$107/$CK$5)+((Q134+S134)/$N$107/$CK$7)</f>
        <v>4.8943798177341995E-4</v>
      </c>
      <c r="Z134" s="61">
        <f t="shared" ref="Z134:Z141" si="17">X134/($E$107*$Q$107)</f>
        <v>2.0916153067240168E-5</v>
      </c>
    </row>
    <row r="135" spans="1:26" x14ac:dyDescent="0.25">
      <c r="A135" s="58" t="s">
        <v>540</v>
      </c>
      <c r="B135" t="s">
        <v>538</v>
      </c>
      <c r="C135" s="68">
        <f>V36+M87</f>
        <v>7156.8300000000017</v>
      </c>
      <c r="D135" t="s">
        <v>119</v>
      </c>
      <c r="E135" s="61">
        <f>C135/$B$107/$CK$5</f>
        <v>0.46309410765559927</v>
      </c>
      <c r="G135" s="61">
        <f t="shared" si="14"/>
        <v>2.9685519721512774E-2</v>
      </c>
      <c r="M135" s="58" t="str">
        <f t="shared" si="15"/>
        <v>Pugging boards</v>
      </c>
      <c r="N135" t="str">
        <f t="shared" si="15"/>
        <v>Wood</v>
      </c>
      <c r="O135" s="69">
        <f>(C139*CF14)</f>
        <v>1.820729166666667</v>
      </c>
      <c r="P135" t="str">
        <f>D139</f>
        <v>m3</v>
      </c>
      <c r="Q135" s="68">
        <f t="shared" si="16"/>
        <v>1.820729166666667</v>
      </c>
      <c r="R135" t="s">
        <v>21</v>
      </c>
      <c r="S135">
        <f>(BS51*CH14)</f>
        <v>0</v>
      </c>
      <c r="T135" t="s">
        <v>21</v>
      </c>
      <c r="U135" t="str">
        <f>CC14</f>
        <v>Horisontal devition, wood</v>
      </c>
      <c r="V135" s="68">
        <f t="shared" ref="V135:V141" si="18">O135+S135</f>
        <v>1.820729166666667</v>
      </c>
      <c r="X135" s="61">
        <f>(O135/$N$107/$CK$5)+((Q135+S135)/$N$107/$CK$7)</f>
        <v>1.8129775915576654E-4</v>
      </c>
      <c r="Z135" s="61">
        <f t="shared" si="17"/>
        <v>7.7477674852891689E-6</v>
      </c>
    </row>
    <row r="136" spans="1:26" x14ac:dyDescent="0.25">
      <c r="C136" s="68"/>
      <c r="E136" s="69"/>
      <c r="G136" s="61"/>
      <c r="M136" s="58" t="str">
        <f t="shared" si="15"/>
        <v>Pugging</v>
      </c>
      <c r="N136" t="str">
        <f t="shared" si="15"/>
        <v xml:space="preserve">Clay </v>
      </c>
      <c r="O136" s="69">
        <f>(C140*CF68)</f>
        <v>12817.933333333334</v>
      </c>
      <c r="P136" t="str">
        <f>D140</f>
        <v>kg</v>
      </c>
      <c r="Q136" s="68">
        <f t="shared" si="16"/>
        <v>6408.9666666666672</v>
      </c>
      <c r="R136" t="s">
        <v>119</v>
      </c>
      <c r="S136">
        <f>(BS52*CH68)</f>
        <v>6408.9666666666672</v>
      </c>
      <c r="T136" t="s">
        <v>119</v>
      </c>
      <c r="U136" t="str">
        <f>CC68</f>
        <v xml:space="preserve">Tagdække, narurlig materiale </v>
      </c>
      <c r="V136" s="68">
        <f t="shared" si="18"/>
        <v>19226.900000000001</v>
      </c>
      <c r="X136" s="61">
        <f>(O136/$N$107/$CK$5)+((Q136+S136)/$N$107/$CK$7)</f>
        <v>1.2763362244565966</v>
      </c>
      <c r="Z136" s="61">
        <f t="shared" si="17"/>
        <v>5.4544283096435754E-2</v>
      </c>
    </row>
    <row r="137" spans="1:26" x14ac:dyDescent="0.25">
      <c r="A137" s="59" t="s">
        <v>548</v>
      </c>
      <c r="B137" s="59"/>
      <c r="C137" s="71"/>
      <c r="D137" s="59"/>
      <c r="E137" s="73"/>
      <c r="F137" s="59"/>
      <c r="G137" s="70"/>
      <c r="M137" s="58" t="str">
        <f t="shared" si="15"/>
        <v xml:space="preserve">Ceiling </v>
      </c>
      <c r="N137" t="str">
        <f t="shared" si="15"/>
        <v>Wood</v>
      </c>
      <c r="O137" s="69">
        <f>(C141*CF37)</f>
        <v>5.1302000000000003</v>
      </c>
      <c r="P137" t="str">
        <f>D141</f>
        <v>m3</v>
      </c>
      <c r="Q137" s="68">
        <f t="shared" si="16"/>
        <v>1.7933000000000001</v>
      </c>
      <c r="R137" t="s">
        <v>21</v>
      </c>
      <c r="S137">
        <f>(BS53*CH37)</f>
        <v>1.7933000000000001</v>
      </c>
      <c r="T137" t="s">
        <v>21</v>
      </c>
      <c r="U137" t="str">
        <f>CC37</f>
        <v>Celling, uklassificeret træ</v>
      </c>
      <c r="V137" s="68">
        <f t="shared" si="18"/>
        <v>6.9235000000000007</v>
      </c>
      <c r="X137" s="61">
        <f>(O137/$N$107/$CK$5)+((Q137+S137)/$N$107/$CK$7)</f>
        <v>4.1846638019402149E-4</v>
      </c>
      <c r="Z137" s="61">
        <f t="shared" si="17"/>
        <v>1.788317864077015E-5</v>
      </c>
    </row>
    <row r="138" spans="1:26" x14ac:dyDescent="0.25">
      <c r="A138" s="58" t="s">
        <v>549</v>
      </c>
      <c r="B138" t="s">
        <v>539</v>
      </c>
      <c r="C138" s="68">
        <f>AM99</f>
        <v>4.9153062500000004</v>
      </c>
      <c r="D138" t="s">
        <v>21</v>
      </c>
      <c r="E138" s="61">
        <f t="shared" ref="E138:E145" si="19">C138/$B$107/$CK$5</f>
        <v>3.180527358757633E-4</v>
      </c>
      <c r="G138" s="61">
        <f t="shared" ref="G138:G145" si="20">E138/($E$107*$G$107)</f>
        <v>2.0387995889472007E-5</v>
      </c>
      <c r="M138" s="58" t="str">
        <f t="shared" si="15"/>
        <v>Floor boards</v>
      </c>
      <c r="N138" t="str">
        <f t="shared" si="15"/>
        <v>Wood</v>
      </c>
      <c r="O138" s="69">
        <f>(C142*CF31)</f>
        <v>5.3799000000000001</v>
      </c>
      <c r="P138" t="str">
        <f>D142</f>
        <v>m3</v>
      </c>
      <c r="Q138" s="68">
        <f t="shared" si="16"/>
        <v>2.6899500000000001</v>
      </c>
      <c r="R138" t="s">
        <v>21</v>
      </c>
      <c r="S138">
        <f>(BS54*CH31)</f>
        <v>0</v>
      </c>
      <c r="T138" t="s">
        <v>21</v>
      </c>
      <c r="U138" t="str">
        <f>CC31</f>
        <v>Floor, ældet træ</v>
      </c>
      <c r="V138" s="68">
        <f t="shared" si="18"/>
        <v>5.3799000000000001</v>
      </c>
      <c r="X138" s="61">
        <f>(O138/$N$107/$CK$5)+((Q138+S138)/$N$107/$CK$7)</f>
        <v>3.747321445263462E-4</v>
      </c>
      <c r="Z138" s="61">
        <f t="shared" si="17"/>
        <v>1.6014194210527617E-5</v>
      </c>
    </row>
    <row r="139" spans="1:26" x14ac:dyDescent="0.25">
      <c r="A139" s="58" t="s">
        <v>604</v>
      </c>
      <c r="B139" t="s">
        <v>539</v>
      </c>
      <c r="C139" s="68">
        <f>AQ42</f>
        <v>1.820729166666667</v>
      </c>
      <c r="D139" t="s">
        <v>21</v>
      </c>
      <c r="E139" s="61">
        <f t="shared" si="19"/>
        <v>1.1781318666504901E-4</v>
      </c>
      <c r="G139" s="61">
        <f t="shared" si="20"/>
        <v>7.5521273503236551E-6</v>
      </c>
      <c r="M139" s="58" t="str">
        <f t="shared" si="15"/>
        <v>Wall anchor</v>
      </c>
      <c r="N139" t="str">
        <f t="shared" si="15"/>
        <v>Iron</v>
      </c>
      <c r="Q139" s="68">
        <f t="shared" si="16"/>
        <v>245.018125</v>
      </c>
      <c r="R139" t="s">
        <v>119</v>
      </c>
      <c r="U139" t="s">
        <v>1006</v>
      </c>
      <c r="V139" s="68"/>
      <c r="X139" s="61">
        <f>Q139/$N$107/$CK$7</f>
        <v>1.4661958200955706E-2</v>
      </c>
      <c r="Z139" s="61">
        <f t="shared" si="17"/>
        <v>6.2657941029725249E-4</v>
      </c>
    </row>
    <row r="140" spans="1:26" x14ac:dyDescent="0.25">
      <c r="A140" s="58" t="s">
        <v>834</v>
      </c>
      <c r="B140" t="s">
        <v>835</v>
      </c>
      <c r="C140" s="68">
        <f>AQ43</f>
        <v>6408.9666666666672</v>
      </c>
      <c r="D140" t="s">
        <v>119</v>
      </c>
      <c r="E140" s="61">
        <f t="shared" si="19"/>
        <v>0.41470241706097249</v>
      </c>
      <c r="G140" s="61">
        <f t="shared" si="20"/>
        <v>2.6583488273139264E-2</v>
      </c>
      <c r="M140" s="58" t="s">
        <v>1007</v>
      </c>
      <c r="N140" t="s">
        <v>861</v>
      </c>
      <c r="O140" s="69">
        <f>(C144*CF35)</f>
        <v>76.952999999999989</v>
      </c>
      <c r="P140" t="s">
        <v>119</v>
      </c>
      <c r="Q140" s="68">
        <f t="shared" si="16"/>
        <v>26.8995</v>
      </c>
      <c r="R140" t="s">
        <v>119</v>
      </c>
      <c r="S140">
        <f>(BS56*CH35)</f>
        <v>26.8995</v>
      </c>
      <c r="T140" t="s">
        <v>119</v>
      </c>
      <c r="U140" t="str">
        <f>CC35</f>
        <v>Celling, påbygget, kalkmørtel</v>
      </c>
      <c r="V140" s="68">
        <f t="shared" si="18"/>
        <v>103.85249999999999</v>
      </c>
      <c r="X140" s="61">
        <f>(O140/$N$107/$CK$5)+((Q140+S140)/$N$107/$CK$7)</f>
        <v>6.2769957029103207E-3</v>
      </c>
      <c r="Z140" s="61">
        <f t="shared" si="17"/>
        <v>2.682476796115522E-4</v>
      </c>
    </row>
    <row r="141" spans="1:26" x14ac:dyDescent="0.25">
      <c r="A141" s="58" t="s">
        <v>550</v>
      </c>
      <c r="B141" t="s">
        <v>539</v>
      </c>
      <c r="C141" s="68">
        <f>AQ68</f>
        <v>2.5651000000000002</v>
      </c>
      <c r="D141" t="s">
        <v>21</v>
      </c>
      <c r="E141" s="61">
        <f t="shared" si="19"/>
        <v>1.6597888947304565E-4</v>
      </c>
      <c r="G141" s="61">
        <f t="shared" si="20"/>
        <v>1.0639672402118311E-5</v>
      </c>
      <c r="M141" s="58" t="s">
        <v>1008</v>
      </c>
      <c r="N141" t="s">
        <v>538</v>
      </c>
      <c r="O141" s="69">
        <f>(C145*CF35)</f>
        <v>6541.0049999999992</v>
      </c>
      <c r="P141" t="s">
        <v>119</v>
      </c>
      <c r="Q141" s="68">
        <f t="shared" si="16"/>
        <v>2286.4575</v>
      </c>
      <c r="R141" t="s">
        <v>119</v>
      </c>
      <c r="S141">
        <f>(BS57*CH35)</f>
        <v>2286.4575</v>
      </c>
      <c r="T141" t="s">
        <v>119</v>
      </c>
      <c r="U141" t="str">
        <f>CC35</f>
        <v>Celling, påbygget, kalkmørtel</v>
      </c>
      <c r="V141" s="68">
        <f t="shared" si="18"/>
        <v>8827.4624999999996</v>
      </c>
      <c r="X141" s="61">
        <f>(O141/$N$107/$CK$5)+((Q141+S141)/$N$107/$CK$7)</f>
        <v>0.53354463474737734</v>
      </c>
      <c r="Z141" s="61">
        <f t="shared" si="17"/>
        <v>2.2801052766981939E-2</v>
      </c>
    </row>
    <row r="142" spans="1:26" x14ac:dyDescent="0.25">
      <c r="A142" s="58" t="s">
        <v>551</v>
      </c>
      <c r="B142" t="s">
        <v>539</v>
      </c>
      <c r="C142" s="68">
        <f>AQ61</f>
        <v>5.3799000000000001</v>
      </c>
      <c r="D142" t="s">
        <v>21</v>
      </c>
      <c r="E142" s="61">
        <f t="shared" si="19"/>
        <v>3.4811501597444087E-4</v>
      </c>
      <c r="G142" s="61">
        <f t="shared" si="20"/>
        <v>2.2315065126566723E-5</v>
      </c>
      <c r="Q142" s="68"/>
      <c r="V142" s="68"/>
      <c r="X142" s="61"/>
      <c r="Z142" s="61"/>
    </row>
    <row r="143" spans="1:26" x14ac:dyDescent="0.25">
      <c r="A143" s="58" t="s">
        <v>155</v>
      </c>
      <c r="B143" t="s">
        <v>552</v>
      </c>
      <c r="C143" s="68">
        <f>AQ51</f>
        <v>245.018125</v>
      </c>
      <c r="D143" t="s">
        <v>119</v>
      </c>
      <c r="E143" s="61">
        <f t="shared" si="19"/>
        <v>1.5854288834068021E-2</v>
      </c>
      <c r="G143" s="61">
        <f t="shared" si="20"/>
        <v>1.0163005662864116E-3</v>
      </c>
      <c r="M143" s="59" t="str">
        <f>A147</f>
        <v>Roof</v>
      </c>
      <c r="N143" s="59"/>
      <c r="O143" s="73"/>
      <c r="P143" s="59"/>
      <c r="Q143" s="71"/>
      <c r="R143" s="59"/>
      <c r="S143" s="59"/>
      <c r="T143" s="59"/>
      <c r="U143" s="59"/>
      <c r="V143" s="68"/>
      <c r="X143" s="70"/>
      <c r="Z143" s="61"/>
    </row>
    <row r="144" spans="1:26" x14ac:dyDescent="0.25">
      <c r="A144" s="58" t="s">
        <v>1007</v>
      </c>
      <c r="B144" t="s">
        <v>861</v>
      </c>
      <c r="C144" s="68">
        <f>AQ72</f>
        <v>38.476499999999994</v>
      </c>
      <c r="D144" t="s">
        <v>119</v>
      </c>
      <c r="E144" s="61">
        <f t="shared" si="19"/>
        <v>2.4896833420956846E-3</v>
      </c>
      <c r="G144" s="61">
        <f t="shared" si="20"/>
        <v>1.5959508603177465E-4</v>
      </c>
      <c r="M144" s="58" t="s">
        <v>541</v>
      </c>
      <c r="N144" t="str">
        <f>B149</f>
        <v>Tile</v>
      </c>
      <c r="O144" s="69">
        <f>C149*CF53</f>
        <v>5460.3924747993506</v>
      </c>
      <c r="P144" t="str">
        <f>D149</f>
        <v>kg</v>
      </c>
      <c r="Q144" s="68"/>
      <c r="U144" t="str">
        <f>CC53</f>
        <v>Roof, tegl (ikke glasseret)</v>
      </c>
      <c r="V144" s="68">
        <f>O144</f>
        <v>5460.3924747993506</v>
      </c>
      <c r="X144" s="61">
        <f>(O144/$N$107/$CK$5)</f>
        <v>0.21696301322311259</v>
      </c>
      <c r="Z144" s="61">
        <f t="shared" ref="Z144:Z145" si="21">X144/($E$107*$Q$107)</f>
        <v>9.2719236420133588E-3</v>
      </c>
    </row>
    <row r="145" spans="1:26" x14ac:dyDescent="0.25">
      <c r="A145" s="58" t="s">
        <v>1008</v>
      </c>
      <c r="B145" t="s">
        <v>538</v>
      </c>
      <c r="C145" s="68">
        <f>AQ75</f>
        <v>3270.5024999999996</v>
      </c>
      <c r="D145" t="s">
        <v>119</v>
      </c>
      <c r="E145" s="61">
        <f t="shared" si="19"/>
        <v>0.21162308407813318</v>
      </c>
      <c r="G145" s="61">
        <f t="shared" si="20"/>
        <v>1.3565582312700846E-2</v>
      </c>
      <c r="M145" s="58" t="str">
        <f>A149</f>
        <v>Tile</v>
      </c>
      <c r="N145" t="s">
        <v>1009</v>
      </c>
      <c r="O145">
        <f>I76*CF55</f>
        <v>2438.856564350036</v>
      </c>
      <c r="P145" t="s">
        <v>119</v>
      </c>
      <c r="Q145" s="68"/>
      <c r="U145" t="str">
        <f>CC55</f>
        <v xml:space="preserve">Roof, beton og cement mørtel (eternit) </v>
      </c>
      <c r="V145" s="68">
        <f t="shared" ref="V145" si="22">O145</f>
        <v>2438.856564350036</v>
      </c>
      <c r="X145" s="61">
        <f>(O145/$N$107/$CK$5)</f>
        <v>9.6905427853845955E-2</v>
      </c>
      <c r="Z145" s="61">
        <f t="shared" si="21"/>
        <v>4.1412576005917081E-3</v>
      </c>
    </row>
    <row r="146" spans="1:26" x14ac:dyDescent="0.25">
      <c r="C146" s="68"/>
      <c r="G146" s="61"/>
      <c r="O146" s="69"/>
      <c r="Q146" s="68"/>
      <c r="V146" s="68"/>
      <c r="X146" s="61"/>
      <c r="Z146" s="61"/>
    </row>
    <row r="147" spans="1:26" x14ac:dyDescent="0.25">
      <c r="A147" s="59" t="s">
        <v>70</v>
      </c>
      <c r="B147" s="59"/>
      <c r="C147" s="71"/>
      <c r="D147" s="59"/>
      <c r="E147" s="73"/>
      <c r="F147" s="59"/>
      <c r="G147" s="70"/>
      <c r="M147" s="59" t="str">
        <f>A151</f>
        <v>Stairs</v>
      </c>
      <c r="N147" s="59"/>
      <c r="O147" s="73"/>
      <c r="P147" s="59"/>
      <c r="Q147" s="71"/>
      <c r="R147" s="59"/>
      <c r="S147" s="59"/>
      <c r="T147" s="59"/>
      <c r="U147" s="59"/>
      <c r="V147" s="68"/>
      <c r="X147" s="70"/>
      <c r="Z147" s="61"/>
    </row>
    <row r="148" spans="1:26" x14ac:dyDescent="0.25">
      <c r="A148" s="58" t="s">
        <v>257</v>
      </c>
      <c r="B148" t="s">
        <v>539</v>
      </c>
      <c r="C148" s="68">
        <f>I69</f>
        <v>24.008183750000001</v>
      </c>
      <c r="D148" t="s">
        <v>21</v>
      </c>
      <c r="E148" s="61">
        <f>C148/$B$107/$CK$5</f>
        <v>1.5534878472924334E-3</v>
      </c>
      <c r="G148" s="61">
        <f t="shared" ref="G148:G149" si="23">E148/($E$107*$G$107)</f>
        <v>9.9582554313617532E-5</v>
      </c>
      <c r="M148" s="58" t="str">
        <f>A152</f>
        <v>Staircase</v>
      </c>
      <c r="N148" t="str">
        <f>B152</f>
        <v>wood</v>
      </c>
      <c r="O148" s="69">
        <f>(C152*CF15)</f>
        <v>1.4374798533029272</v>
      </c>
      <c r="P148" t="str">
        <f>D152</f>
        <v>m3</v>
      </c>
      <c r="Q148" s="68">
        <f>BS65</f>
        <v>0.71873992665146358</v>
      </c>
      <c r="R148" t="s">
        <v>21</v>
      </c>
      <c r="U148" t="str">
        <f>CC15</f>
        <v>Stairs, wood</v>
      </c>
      <c r="V148" s="68">
        <f>O148</f>
        <v>1.4374798533029272</v>
      </c>
      <c r="X148" s="61">
        <f>(O148/$N$107/$CK$5)+((Q148)/$N$107/$CK$7)</f>
        <v>1.0012637932705503E-4</v>
      </c>
      <c r="Z148" s="61">
        <f t="shared" ref="Z148" si="24">X148/($E$107*$Q$107)</f>
        <v>4.278905099446797E-6</v>
      </c>
    </row>
    <row r="149" spans="1:26" x14ac:dyDescent="0.25">
      <c r="A149" s="58" t="s">
        <v>541</v>
      </c>
      <c r="B149" t="s">
        <v>541</v>
      </c>
      <c r="C149" s="68">
        <f>I38</f>
        <v>5460.3924747993506</v>
      </c>
      <c r="D149" t="s">
        <v>119</v>
      </c>
      <c r="E149" s="61">
        <f>C149/$B$107/$CK$5</f>
        <v>0.35332341002462736</v>
      </c>
      <c r="G149" s="61">
        <f t="shared" si="23"/>
        <v>2.2648936540040215E-2</v>
      </c>
      <c r="O149" s="69"/>
      <c r="Q149" s="68"/>
      <c r="V149" s="68"/>
      <c r="X149" s="61"/>
      <c r="Z149" s="61"/>
    </row>
    <row r="150" spans="1:26" x14ac:dyDescent="0.25">
      <c r="C150" s="68"/>
      <c r="E150" s="69"/>
      <c r="G150" s="61"/>
      <c r="M150" s="59" t="str">
        <f>A154</f>
        <v>Drain pipes</v>
      </c>
      <c r="N150" s="59"/>
      <c r="O150" s="73"/>
      <c r="P150" s="59"/>
      <c r="Q150" s="71"/>
      <c r="R150" s="59"/>
      <c r="S150" s="59"/>
      <c r="T150" s="59"/>
      <c r="U150" s="59"/>
      <c r="V150" s="68"/>
      <c r="X150" s="70"/>
      <c r="Z150" s="61"/>
    </row>
    <row r="151" spans="1:26" x14ac:dyDescent="0.25">
      <c r="A151" s="59" t="s">
        <v>553</v>
      </c>
      <c r="B151" s="59"/>
      <c r="C151" s="71"/>
      <c r="D151" s="59"/>
      <c r="E151" s="73"/>
      <c r="F151" s="59"/>
      <c r="G151" s="70"/>
      <c r="M151" s="58" t="str">
        <f>A155</f>
        <v>Drain pipe</v>
      </c>
      <c r="N151" t="str">
        <f>B155</f>
        <v>Zinc</v>
      </c>
      <c r="O151" s="69">
        <f>(C155*CF61)</f>
        <v>171.85047907305804</v>
      </c>
      <c r="P151" t="str">
        <f>D155</f>
        <v>kg</v>
      </c>
      <c r="Q151" s="68">
        <f>BS68</f>
        <v>171.85047907305804</v>
      </c>
      <c r="R151" t="s">
        <v>119</v>
      </c>
      <c r="S151">
        <f>(BS68*CH61)</f>
        <v>171.85047907305804</v>
      </c>
      <c r="T151" t="s">
        <v>119</v>
      </c>
      <c r="U151" t="str">
        <f>CC61</f>
        <v>Tagrender og nedløbsrør, zink og bly</v>
      </c>
      <c r="V151" s="68">
        <f>O151+S151</f>
        <v>343.70095814611608</v>
      </c>
      <c r="X151" s="61">
        <f>(O151/$N$107/$CK$5)+((Q151+S151)/$N$107/$CK$7)</f>
        <v>2.7395468548213536E-2</v>
      </c>
      <c r="Z151" s="61">
        <f t="shared" ref="Z151:Z154" si="25">X151/($E$107*$Q$107)</f>
        <v>1.1707465191544246E-3</v>
      </c>
    </row>
    <row r="152" spans="1:26" x14ac:dyDescent="0.25">
      <c r="A152" s="58" t="s">
        <v>554</v>
      </c>
      <c r="B152" t="s">
        <v>555</v>
      </c>
      <c r="C152" s="68">
        <f>AA45</f>
        <v>1.4374798533029272</v>
      </c>
      <c r="D152" t="s">
        <v>21</v>
      </c>
      <c r="E152" s="61">
        <f>C152/$B$107/$CK$5</f>
        <v>9.3014428166970657E-5</v>
      </c>
      <c r="G152" s="61">
        <f t="shared" ref="G152" si="26">E152/($E$107*$G$107)</f>
        <v>5.9624633440365809E-6</v>
      </c>
      <c r="M152" s="58"/>
      <c r="N152" t="s">
        <v>1010</v>
      </c>
      <c r="O152">
        <f>(((BS68+C155)/AU73)*N170)*(CF62+1)</f>
        <v>88.659717228214433</v>
      </c>
      <c r="P152" t="s">
        <v>119</v>
      </c>
      <c r="Q152" s="68"/>
      <c r="U152" t="str">
        <f>CC62</f>
        <v>Tagrender og nedløbsrør, plast/ skumplast</v>
      </c>
      <c r="V152" s="68">
        <f t="shared" ref="V152:V154" si="27">O152+S152</f>
        <v>88.659717228214433</v>
      </c>
      <c r="X152" s="61">
        <f>(O152/$N$107/CK13)</f>
        <v>9.3691532180303003E-3</v>
      </c>
      <c r="Z152" s="61">
        <f t="shared" si="25"/>
        <v>4.0039116316368807E-4</v>
      </c>
    </row>
    <row r="153" spans="1:26" x14ac:dyDescent="0.25">
      <c r="C153" s="68"/>
      <c r="E153" s="69"/>
      <c r="G153" s="61"/>
      <c r="M153" s="58" t="str">
        <f>A156</f>
        <v>Gutter</v>
      </c>
      <c r="N153" t="str">
        <f>B156</f>
        <v>Zinc</v>
      </c>
      <c r="O153" s="69">
        <f>C156*CF61</f>
        <v>195.30097913207908</v>
      </c>
      <c r="P153" t="str">
        <f>D156</f>
        <v>kg</v>
      </c>
      <c r="Q153" s="68"/>
      <c r="U153" t="str">
        <f>CC61</f>
        <v>Tagrender og nedløbsrør, zink og bly</v>
      </c>
      <c r="V153" s="68">
        <f t="shared" si="27"/>
        <v>195.30097913207908</v>
      </c>
      <c r="X153" s="61">
        <f>(O153/$N$107/$CK$5)</f>
        <v>7.7600811871086544E-3</v>
      </c>
      <c r="Z153" s="61">
        <f t="shared" si="25"/>
        <v>3.3162740115848954E-4</v>
      </c>
    </row>
    <row r="154" spans="1:26" x14ac:dyDescent="0.25">
      <c r="A154" s="59" t="s">
        <v>559</v>
      </c>
      <c r="B154" s="59"/>
      <c r="C154" s="71"/>
      <c r="D154" s="59"/>
      <c r="E154" s="73"/>
      <c r="F154" s="59"/>
      <c r="G154" s="70"/>
      <c r="M154" s="58"/>
      <c r="N154" t="s">
        <v>1010</v>
      </c>
      <c r="O154">
        <f>(C156/AU73)*N170*(CF62+1)</f>
        <v>50.379055320766227</v>
      </c>
      <c r="P154" t="s">
        <v>119</v>
      </c>
      <c r="Q154" s="68"/>
      <c r="U154" t="str">
        <f>CC62</f>
        <v>Tagrender og nedløbsrør, plast/ skumplast</v>
      </c>
      <c r="V154" s="68">
        <f t="shared" si="27"/>
        <v>50.379055320766227</v>
      </c>
      <c r="X154" s="61">
        <f>(O154/$N$107/CK13)</f>
        <v>5.3238280364114963E-3</v>
      </c>
      <c r="Z154" s="61">
        <f t="shared" si="25"/>
        <v>2.2751401865006395E-4</v>
      </c>
    </row>
    <row r="155" spans="1:26" x14ac:dyDescent="0.25">
      <c r="A155" s="58" t="s">
        <v>560</v>
      </c>
      <c r="B155" t="s">
        <v>561</v>
      </c>
      <c r="C155" s="68">
        <f>AU58</f>
        <v>171.85047907305804</v>
      </c>
      <c r="D155" t="s">
        <v>119</v>
      </c>
      <c r="E155" s="61">
        <f>C155/$B$107/$CK$5</f>
        <v>1.1119859526707359E-2</v>
      </c>
      <c r="G155" s="61">
        <f t="shared" ref="G155:G156" si="28">E155/($E$107*$G$107)</f>
        <v>7.1281150812226664E-4</v>
      </c>
      <c r="O155" s="69"/>
      <c r="Q155" s="68"/>
      <c r="V155" s="68"/>
      <c r="X155" s="61"/>
      <c r="Z155" s="61"/>
    </row>
    <row r="156" spans="1:26" x14ac:dyDescent="0.25">
      <c r="A156" s="58" t="s">
        <v>565</v>
      </c>
      <c r="B156" t="s">
        <v>561</v>
      </c>
      <c r="C156" s="68">
        <f>(AU70-AU71)*AU73</f>
        <v>195.30097913207908</v>
      </c>
      <c r="D156" t="s">
        <v>119</v>
      </c>
      <c r="E156" s="61">
        <f>C156/$B$107/$CK$5</f>
        <v>1.263726156069586E-2</v>
      </c>
      <c r="G156" s="61">
        <f t="shared" si="28"/>
        <v>8.1008086927537566E-4</v>
      </c>
      <c r="M156" s="59" t="str">
        <f>A158</f>
        <v>Chimney</v>
      </c>
      <c r="N156" s="59"/>
      <c r="O156" s="73"/>
      <c r="P156" s="59"/>
      <c r="Q156" s="71"/>
      <c r="R156" s="59"/>
      <c r="S156" s="59"/>
      <c r="T156" s="59"/>
      <c r="U156" s="59"/>
      <c r="V156" s="68"/>
      <c r="X156" s="70"/>
      <c r="Z156" s="61"/>
    </row>
    <row r="157" spans="1:26" x14ac:dyDescent="0.25">
      <c r="C157" s="68"/>
      <c r="E157" s="69"/>
      <c r="G157" s="61"/>
      <c r="M157" s="58" t="str">
        <f>A159</f>
        <v>Brick</v>
      </c>
      <c r="N157" t="str">
        <f>B159</f>
        <v>Tile</v>
      </c>
      <c r="O157" s="69">
        <f>(C159*CF43)</f>
        <v>7181.7003676470595</v>
      </c>
      <c r="P157" t="str">
        <f>D159</f>
        <v>kg</v>
      </c>
      <c r="Q157" s="68">
        <f>BS72</f>
        <v>1877.5</v>
      </c>
      <c r="R157" t="s">
        <v>119</v>
      </c>
      <c r="S157">
        <f>(BS72*CH43)</f>
        <v>1877.5</v>
      </c>
      <c r="T157" t="s">
        <v>119</v>
      </c>
      <c r="U157" t="str">
        <f>CC43</f>
        <v>Exterior wall, plaster, tegl</v>
      </c>
      <c r="V157" s="68">
        <f>O157+S157</f>
        <v>9059.2003676470595</v>
      </c>
      <c r="X157" s="61">
        <f>(O157/$N$107/$CK$5)+((Q157+S157)/$N$107/$CK$7)</f>
        <v>0.51005771921758447</v>
      </c>
      <c r="Z157" s="61">
        <f t="shared" ref="Z157:Z158" si="29">X157/($E$107*$Q$107)</f>
        <v>2.1797338428101901E-2</v>
      </c>
    </row>
    <row r="158" spans="1:26" x14ac:dyDescent="0.25">
      <c r="A158" s="59" t="s">
        <v>72</v>
      </c>
      <c r="B158" s="59"/>
      <c r="C158" s="71"/>
      <c r="D158" s="59"/>
      <c r="E158" s="73"/>
      <c r="F158" s="59"/>
      <c r="G158" s="70"/>
      <c r="M158" s="58" t="str">
        <f>A160</f>
        <v>Mortar</v>
      </c>
      <c r="N158" t="str">
        <f>B160</f>
        <v>Lime</v>
      </c>
      <c r="O158" s="69">
        <f>(C160*CF43)</f>
        <v>1540.0782989999998</v>
      </c>
      <c r="P158" t="str">
        <f>D160</f>
        <v>kg</v>
      </c>
      <c r="Q158" s="68">
        <f>BS73</f>
        <v>402.62011199999989</v>
      </c>
      <c r="S158">
        <f>(BS73*CH43)</f>
        <v>402.62011199999989</v>
      </c>
      <c r="T158" t="s">
        <v>119</v>
      </c>
      <c r="U158" t="str">
        <f>CC43</f>
        <v>Exterior wall, plaster, tegl</v>
      </c>
      <c r="V158" s="68">
        <f>O158+S158</f>
        <v>1942.6984109999996</v>
      </c>
      <c r="X158" s="61">
        <f>(O158/$N$107/$CK$5)+((Q158+S158)/$N$107/$CK$7)</f>
        <v>0.10937922558607102</v>
      </c>
      <c r="Z158" s="61">
        <f t="shared" si="29"/>
        <v>4.6743258797466254E-3</v>
      </c>
    </row>
    <row r="159" spans="1:26" x14ac:dyDescent="0.25">
      <c r="A159" s="58" t="s">
        <v>556</v>
      </c>
      <c r="B159" t="s">
        <v>541</v>
      </c>
      <c r="C159" s="68">
        <f>AI67</f>
        <v>7181.7003676470595</v>
      </c>
      <c r="D159" t="s">
        <v>119</v>
      </c>
      <c r="E159" s="61">
        <f>C159/$B$107/$CK$5</f>
        <v>0.46470338448802095</v>
      </c>
      <c r="G159" s="61">
        <f t="shared" ref="G159:G160" si="30">E159/($E$107*$G$107)</f>
        <v>2.9788678492821855E-2</v>
      </c>
      <c r="V159" s="68"/>
      <c r="X159" s="61"/>
      <c r="Z159" s="61"/>
    </row>
    <row r="160" spans="1:26" x14ac:dyDescent="0.25">
      <c r="A160" s="58" t="s">
        <v>537</v>
      </c>
      <c r="B160" t="s">
        <v>538</v>
      </c>
      <c r="C160" s="68">
        <f>AI68</f>
        <v>1540.0782989999998</v>
      </c>
      <c r="D160" t="s">
        <v>119</v>
      </c>
      <c r="E160" s="61">
        <f>C160/$B$107/$CK$5</f>
        <v>9.9653224345856745E-2</v>
      </c>
      <c r="G160" s="61">
        <f t="shared" si="30"/>
        <v>6.3880272016574834E-3</v>
      </c>
      <c r="M160" s="59" t="s">
        <v>557</v>
      </c>
      <c r="N160" s="59"/>
      <c r="O160" s="59"/>
      <c r="P160" s="59"/>
      <c r="Q160" s="59"/>
      <c r="R160" s="59"/>
      <c r="S160" s="59"/>
      <c r="T160" s="59"/>
      <c r="U160" s="59"/>
      <c r="V160" s="68"/>
      <c r="X160" s="70"/>
      <c r="Z160" s="61"/>
    </row>
    <row r="161" spans="1:59" x14ac:dyDescent="0.25">
      <c r="M161" s="75" t="s">
        <v>557</v>
      </c>
      <c r="N161" t="s">
        <v>552</v>
      </c>
      <c r="O161">
        <f>('[1]Typehus O2010'!M75/'[1]Typehus O2010'!L52)*N107*(CF63+1)</f>
        <v>502.0870955765925</v>
      </c>
      <c r="P161" t="s">
        <v>119</v>
      </c>
      <c r="U161" t="str">
        <f>CC63</f>
        <v>Rør, jen, stål, rustfrit stål</v>
      </c>
      <c r="V161" s="68">
        <f>O161</f>
        <v>502.0870955765925</v>
      </c>
      <c r="X161" s="61">
        <f>(O161/$N$107/CK9)</f>
        <v>3.5624836250811476E-2</v>
      </c>
      <c r="Z161" s="61">
        <f t="shared" ref="Z161:Z162" si="31">X161/($E$107*$Q$107)</f>
        <v>1.522428899607328E-3</v>
      </c>
    </row>
    <row r="162" spans="1:59" x14ac:dyDescent="0.25">
      <c r="C162" s="69">
        <f>SUM(C111:C160)</f>
        <v>131047.90459118207</v>
      </c>
      <c r="E162" s="68">
        <f>Q163+V164</f>
        <v>235510.71156205822</v>
      </c>
      <c r="M162" s="75"/>
      <c r="N162" t="s">
        <v>558</v>
      </c>
      <c r="O162">
        <f>('[1]Typehus O2010'!M108/'[1]Typehus O2010'!L52)*N107*(CF65+1)</f>
        <v>63.14238692601311</v>
      </c>
      <c r="P162" t="s">
        <v>119</v>
      </c>
      <c r="U162" t="str">
        <f>CC65</f>
        <v>Rør, plast/skumplast</v>
      </c>
      <c r="V162" s="68">
        <f>O162</f>
        <v>63.14238692601311</v>
      </c>
      <c r="X162" s="61">
        <f>(O162/$N$107/CK13)</f>
        <v>6.6725985166317045E-3</v>
      </c>
      <c r="Z162" s="61">
        <f t="shared" si="31"/>
        <v>2.8515378276203868E-4</v>
      </c>
    </row>
    <row r="163" spans="1:59" x14ac:dyDescent="0.25">
      <c r="E163" s="68">
        <f>C162+E162</f>
        <v>366558.61615324032</v>
      </c>
      <c r="P163" t="s">
        <v>1011</v>
      </c>
      <c r="Q163" s="68">
        <f>SUM(Q111:Q161)-Q122-Q123-Q124-Q125-Q134-Q135-Q137-Q138-Q148</f>
        <v>91569.47644858589</v>
      </c>
      <c r="R163" t="s">
        <v>119</v>
      </c>
    </row>
    <row r="164" spans="1:59" x14ac:dyDescent="0.25">
      <c r="A164" s="76">
        <v>1890</v>
      </c>
      <c r="P164" t="s">
        <v>1012</v>
      </c>
      <c r="Q164" s="68">
        <f>Q122+Q124+Q134+Q135+Q138+Q137+Q148</f>
        <v>12.773307394600184</v>
      </c>
      <c r="R164" t="s">
        <v>21</v>
      </c>
      <c r="U164" t="s">
        <v>1011</v>
      </c>
      <c r="V164" s="68">
        <f>SUM(V111:V162)-V122-V123-V124-V125-V134-V135-V137-V138-V148</f>
        <v>143941.23511347233</v>
      </c>
      <c r="W164" t="s">
        <v>119</v>
      </c>
    </row>
    <row r="165" spans="1:59" x14ac:dyDescent="0.25">
      <c r="A165" t="s">
        <v>1013</v>
      </c>
      <c r="B165" t="s">
        <v>198</v>
      </c>
      <c r="C165" t="s">
        <v>1014</v>
      </c>
      <c r="D165" t="s">
        <v>569</v>
      </c>
      <c r="F165" t="s">
        <v>570</v>
      </c>
      <c r="G165">
        <v>520</v>
      </c>
      <c r="H165" t="s">
        <v>35</v>
      </c>
      <c r="P165" t="s">
        <v>1015</v>
      </c>
      <c r="Q165">
        <f>(Q164*G165)+Q163</f>
        <v>98211.596293777984</v>
      </c>
      <c r="R165" s="69" t="s">
        <v>119</v>
      </c>
      <c r="U165" t="s">
        <v>539</v>
      </c>
      <c r="V165" s="68">
        <f>V122+V124+V134+V135+V137+V138+V148</f>
        <v>23.434520398174723</v>
      </c>
      <c r="W165" t="s">
        <v>21</v>
      </c>
    </row>
    <row r="166" spans="1:59" x14ac:dyDescent="0.25">
      <c r="A166" t="str">
        <f>B111</f>
        <v xml:space="preserve">Tile </v>
      </c>
      <c r="B166" s="68">
        <f>C111+C115+C119+C133+C149+C159+Q111+Q115+Q129+Q157+V129+V144+V157</f>
        <v>206672.27851577516</v>
      </c>
      <c r="C166" s="61">
        <f>E111+E119+E133+E149+E159</f>
        <v>4.3379422120486115</v>
      </c>
      <c r="D166" s="61">
        <f>G159+G149+G133+G119+G115+G111</f>
        <v>0.37800550492746438</v>
      </c>
      <c r="F166" t="s">
        <v>572</v>
      </c>
      <c r="G166" s="68">
        <f>C138+C139+C141+C142+C148+C152+Q134+Q135+Q137+Q138+Q148+V134+V135+V137+V138+V148+C124+C126+C128+Q122+Q124+V120+V122+V124</f>
        <v>77.973788351206068</v>
      </c>
      <c r="H166" t="s">
        <v>21</v>
      </c>
      <c r="U166" t="s">
        <v>1015</v>
      </c>
      <c r="V166" s="68">
        <f>(V165*G165)+V164</f>
        <v>156127.18572052318</v>
      </c>
      <c r="W166" t="s">
        <v>119</v>
      </c>
    </row>
    <row r="167" spans="1:59" x14ac:dyDescent="0.25">
      <c r="A167" t="str">
        <f>B112</f>
        <v xml:space="preserve">Lime </v>
      </c>
      <c r="B167" s="68">
        <f>C112+C116+C120+C121+C134+C135+C145+C160+Q112+Q116+Q117+Q130+Q131+Q141+Q158+V112+V116+V130+V131+V141+V158+V117</f>
        <v>122140.87732269229</v>
      </c>
      <c r="C167" s="61">
        <f>E160+E145+E135+E134+E121+E120+E116+E112</f>
        <v>2.1110946919885145</v>
      </c>
      <c r="D167" s="61">
        <f>G160+G145+G134+G135+G121+G120+G116+G112</f>
        <v>0.13532658281977655</v>
      </c>
      <c r="F167" t="s">
        <v>575</v>
      </c>
      <c r="G167">
        <f>G165*G166</f>
        <v>40546.369942627156</v>
      </c>
      <c r="H167" t="s">
        <v>119</v>
      </c>
    </row>
    <row r="168" spans="1:59" x14ac:dyDescent="0.25">
      <c r="A168" t="s">
        <v>539</v>
      </c>
      <c r="B168" s="68">
        <f>G167</f>
        <v>40546.369942627156</v>
      </c>
    </row>
    <row r="169" spans="1:59" x14ac:dyDescent="0.25">
      <c r="A169" t="str">
        <f>B130</f>
        <v>Glass</v>
      </c>
      <c r="B169" s="68">
        <f>C130+Q126+V126</f>
        <v>747.35199999999998</v>
      </c>
      <c r="C169" s="61">
        <f>E130</f>
        <v>1.0812213370000403E-2</v>
      </c>
      <c r="D169" s="61">
        <f>G130</f>
        <v>6.9309060064105148E-4</v>
      </c>
      <c r="F169" s="68"/>
      <c r="BD169" s="76"/>
    </row>
    <row r="170" spans="1:59" x14ac:dyDescent="0.25">
      <c r="A170" t="str">
        <f>B140</f>
        <v xml:space="preserve">Clay </v>
      </c>
      <c r="B170" s="68">
        <f>C140+Q136+V136</f>
        <v>32044.833333333336</v>
      </c>
      <c r="C170" s="61">
        <f>E140</f>
        <v>0.41470241706097249</v>
      </c>
      <c r="D170" s="61">
        <f>G140</f>
        <v>2.6583488273139264E-2</v>
      </c>
      <c r="M170" t="s">
        <v>573</v>
      </c>
      <c r="N170">
        <f>0.92*10^3</f>
        <v>920</v>
      </c>
      <c r="O170" t="s">
        <v>35</v>
      </c>
    </row>
    <row r="171" spans="1:59" x14ac:dyDescent="0.25">
      <c r="A171" t="str">
        <f>B143</f>
        <v>Iron</v>
      </c>
      <c r="B171" s="68">
        <f>C143+Q139+V161</f>
        <v>992.12334557659256</v>
      </c>
      <c r="C171" s="61">
        <f>E143</f>
        <v>1.5854288834068021E-2</v>
      </c>
      <c r="D171" s="61">
        <f>G143</f>
        <v>1.0163005662864116E-3</v>
      </c>
      <c r="BE171" s="69"/>
      <c r="BF171" s="69"/>
      <c r="BG171" s="69"/>
    </row>
    <row r="172" spans="1:59" x14ac:dyDescent="0.25">
      <c r="A172" t="str">
        <f>B144</f>
        <v>Reed</v>
      </c>
      <c r="B172" s="68">
        <f>C144+Q140+V140</f>
        <v>169.2285</v>
      </c>
      <c r="C172" s="61">
        <f>E144</f>
        <v>2.4896833420956846E-3</v>
      </c>
      <c r="D172" s="61">
        <f>G144</f>
        <v>1.5959508603177465E-4</v>
      </c>
      <c r="BE172" s="69"/>
      <c r="BF172" s="69"/>
      <c r="BG172" s="69"/>
    </row>
    <row r="173" spans="1:59" x14ac:dyDescent="0.25">
      <c r="A173" t="str">
        <f>B156</f>
        <v>Zinc</v>
      </c>
      <c r="B173" s="68">
        <f>C155+C156+Q151+V151+V153</f>
        <v>1078.0038745563902</v>
      </c>
      <c r="C173" s="61">
        <f>E156+E155</f>
        <v>2.3757121087403219E-2</v>
      </c>
      <c r="D173" s="61">
        <f>G155+G156</f>
        <v>1.5228923773976423E-3</v>
      </c>
      <c r="BE173" s="69"/>
      <c r="BF173" s="69"/>
      <c r="BG173" s="69"/>
    </row>
    <row r="174" spans="1:59" x14ac:dyDescent="0.25">
      <c r="A174" t="s">
        <v>1016</v>
      </c>
      <c r="B174" s="68">
        <f>V145</f>
        <v>2438.856564350036</v>
      </c>
      <c r="C174" s="61"/>
      <c r="D174" s="61"/>
      <c r="BE174" s="69"/>
      <c r="BF174" s="69"/>
      <c r="BG174" s="69"/>
    </row>
    <row r="175" spans="1:59" x14ac:dyDescent="0.25">
      <c r="A175" t="s">
        <v>1017</v>
      </c>
      <c r="B175" s="68">
        <f>V152+V154+V162</f>
        <v>202.18115947499376</v>
      </c>
      <c r="BE175" s="69"/>
      <c r="BF175" s="69"/>
      <c r="BG175" s="69"/>
    </row>
    <row r="176" spans="1:59" x14ac:dyDescent="0.25">
      <c r="A176" t="s">
        <v>1015</v>
      </c>
      <c r="B176" s="68">
        <f>SUM(B166:B175)</f>
        <v>407032.10455838597</v>
      </c>
      <c r="BE176" s="69"/>
      <c r="BF176" s="69"/>
      <c r="BG176" s="69"/>
    </row>
    <row r="177" spans="1:59" ht="15.75" thickBot="1" x14ac:dyDescent="0.3">
      <c r="BE177" s="69"/>
      <c r="BF177" s="69"/>
      <c r="BG177" s="69"/>
    </row>
    <row r="178" spans="1:59" x14ac:dyDescent="0.25">
      <c r="H178" s="83" t="s">
        <v>1018</v>
      </c>
      <c r="I178" s="84" t="s">
        <v>1019</v>
      </c>
      <c r="J178" s="85" t="s">
        <v>1020</v>
      </c>
      <c r="K178" s="85" t="s">
        <v>1021</v>
      </c>
      <c r="L178" s="86" t="s">
        <v>1022</v>
      </c>
      <c r="BE178" s="69"/>
      <c r="BF178" s="69"/>
      <c r="BG178" s="69"/>
    </row>
    <row r="179" spans="1:59" x14ac:dyDescent="0.25">
      <c r="H179" s="5" t="s">
        <v>1023</v>
      </c>
      <c r="I179" s="5"/>
      <c r="J179" s="5"/>
      <c r="K179" s="5"/>
      <c r="L179" s="5"/>
    </row>
    <row r="180" spans="1:59" x14ac:dyDescent="0.25">
      <c r="A180" t="str">
        <f>A109</f>
        <v xml:space="preserve">Section </v>
      </c>
      <c r="B180" t="str">
        <f>B109</f>
        <v xml:space="preserve">Materials </v>
      </c>
      <c r="C180" t="str">
        <f>C109</f>
        <v>Amount</v>
      </c>
      <c r="D180" t="str">
        <f>D109</f>
        <v>Unit</v>
      </c>
      <c r="E180" t="s">
        <v>1024</v>
      </c>
      <c r="F180" t="str">
        <f>E109</f>
        <v>[Unit/m2/yr]</v>
      </c>
      <c r="G180" t="str">
        <f>F109</f>
        <v>Service life [year]</v>
      </c>
      <c r="H180" s="5" t="s">
        <v>1025</v>
      </c>
      <c r="I180" s="5"/>
      <c r="J180" s="5"/>
      <c r="K180" s="5"/>
      <c r="L180" s="5"/>
      <c r="AV180" s="69"/>
      <c r="AW180" s="69"/>
      <c r="AX180" s="69"/>
    </row>
    <row r="181" spans="1:59" x14ac:dyDescent="0.25">
      <c r="A181" t="str">
        <f>A110</f>
        <v xml:space="preserve">Foundation </v>
      </c>
      <c r="H181" s="5" t="s">
        <v>1026</v>
      </c>
      <c r="I181" s="5"/>
      <c r="J181" s="5"/>
      <c r="K181" s="5"/>
      <c r="L181" s="5"/>
      <c r="AV181" s="69"/>
      <c r="AW181" s="69"/>
      <c r="AX181" s="69"/>
    </row>
    <row r="182" spans="1:59" x14ac:dyDescent="0.25">
      <c r="A182" t="str">
        <f>A111</f>
        <v xml:space="preserve">Bricks </v>
      </c>
      <c r="B182" t="str">
        <f t="shared" ref="B182:D183" si="32">B111</f>
        <v xml:space="preserve">Tile </v>
      </c>
      <c r="C182">
        <f t="shared" si="32"/>
        <v>7273.0928308823513</v>
      </c>
      <c r="D182" t="str">
        <f t="shared" si="32"/>
        <v>kg</v>
      </c>
      <c r="E182">
        <f>(C182/$C$228)*100</f>
        <v>4.8322244492646123</v>
      </c>
      <c r="F182" s="69">
        <f>C182/$B$107</f>
        <v>58.827134960831081</v>
      </c>
      <c r="H182" s="5" t="s">
        <v>1027</v>
      </c>
      <c r="I182" s="5"/>
      <c r="J182" s="5"/>
      <c r="K182" s="5"/>
      <c r="L182" s="5"/>
      <c r="AV182" s="69"/>
      <c r="AW182" s="69"/>
      <c r="AX182" s="69"/>
    </row>
    <row r="183" spans="1:59" x14ac:dyDescent="0.25">
      <c r="A183" t="str">
        <f>A112</f>
        <v xml:space="preserve">Mortar </v>
      </c>
      <c r="B183" t="str">
        <f t="shared" si="32"/>
        <v xml:space="preserve">Lime </v>
      </c>
      <c r="C183">
        <f t="shared" si="32"/>
        <v>1559.6769374999994</v>
      </c>
      <c r="D183" t="str">
        <f t="shared" si="32"/>
        <v>kg</v>
      </c>
      <c r="E183">
        <f>(C183/$C$228)*100</f>
        <v>1.0362454055776598</v>
      </c>
      <c r="F183" s="69">
        <f>C183/$B$107</f>
        <v>12.615173191248427</v>
      </c>
      <c r="H183" s="5" t="s">
        <v>1028</v>
      </c>
      <c r="I183" s="5"/>
      <c r="J183" s="5"/>
      <c r="K183" s="5"/>
      <c r="L183" s="5"/>
      <c r="AV183" s="69"/>
      <c r="AW183" s="69"/>
      <c r="AX183" s="69"/>
    </row>
    <row r="184" spans="1:59" x14ac:dyDescent="0.25">
      <c r="E184">
        <f>SUM(E182:E183)</f>
        <v>5.8684698548422718</v>
      </c>
      <c r="H184" s="5" t="s">
        <v>1029</v>
      </c>
      <c r="I184" s="5"/>
      <c r="J184" s="87">
        <f>C140</f>
        <v>6408.9666666666672</v>
      </c>
      <c r="K184" s="5"/>
      <c r="L184" s="5"/>
      <c r="AV184" s="69"/>
      <c r="AW184" s="69"/>
      <c r="AX184" s="69"/>
    </row>
    <row r="185" spans="1:59" x14ac:dyDescent="0.25">
      <c r="A185" t="str">
        <f>A114</f>
        <v>Exterior wall</v>
      </c>
      <c r="H185" s="5" t="s">
        <v>1030</v>
      </c>
      <c r="I185" s="87">
        <f>C115+C119+C133+C159</f>
        <v>78399.200367647063</v>
      </c>
      <c r="J185" s="5"/>
      <c r="K185" s="87">
        <f>C111</f>
        <v>7273.0928308823513</v>
      </c>
      <c r="L185" s="5"/>
      <c r="AV185" s="69"/>
      <c r="AW185" s="69"/>
      <c r="AX185" s="69"/>
    </row>
    <row r="186" spans="1:59" x14ac:dyDescent="0.25">
      <c r="A186" t="str">
        <f>A115</f>
        <v>Bricks</v>
      </c>
      <c r="B186" t="str">
        <f t="shared" ref="B186:D187" si="33">B115</f>
        <v>Tile</v>
      </c>
      <c r="C186">
        <f t="shared" si="33"/>
        <v>24092.5</v>
      </c>
      <c r="D186" t="str">
        <f t="shared" si="33"/>
        <v xml:space="preserve">kg </v>
      </c>
      <c r="E186">
        <f>(C186/$C$228)*100</f>
        <v>16.006995957699587</v>
      </c>
      <c r="F186" s="69">
        <f>C186/$B$107</f>
        <v>194.86795810247907</v>
      </c>
      <c r="H186" s="5" t="s">
        <v>1031</v>
      </c>
      <c r="I186" s="5"/>
      <c r="J186" s="5"/>
      <c r="K186" s="5"/>
      <c r="L186" s="87">
        <f>C149</f>
        <v>5460.3924747993506</v>
      </c>
      <c r="AV186" s="69"/>
      <c r="AW186" s="69"/>
      <c r="AX186" s="69"/>
    </row>
    <row r="187" spans="1:59" x14ac:dyDescent="0.25">
      <c r="A187" t="str">
        <f>A116</f>
        <v>Mortar</v>
      </c>
      <c r="B187" t="str">
        <f t="shared" si="33"/>
        <v>Lime</v>
      </c>
      <c r="C187">
        <f t="shared" si="33"/>
        <v>5166.5113439999986</v>
      </c>
      <c r="D187" t="str">
        <f t="shared" si="33"/>
        <v xml:space="preserve">kg </v>
      </c>
      <c r="E187">
        <f>(C187/$C$228)*100</f>
        <v>3.4326170467496961</v>
      </c>
      <c r="F187" s="69">
        <f>C187/$B$107</f>
        <v>41.788420301694494</v>
      </c>
      <c r="H187" s="5" t="s">
        <v>46</v>
      </c>
      <c r="I187" s="5"/>
      <c r="J187" s="5"/>
      <c r="K187" s="5"/>
      <c r="L187" s="5"/>
      <c r="AV187" s="69"/>
      <c r="AW187" s="69"/>
      <c r="AX187" s="69"/>
    </row>
    <row r="188" spans="1:59" x14ac:dyDescent="0.25">
      <c r="E188">
        <f>SUM(E186:E187)</f>
        <v>19.439613004449285</v>
      </c>
      <c r="H188" s="5" t="s">
        <v>1032</v>
      </c>
      <c r="I188" s="5"/>
      <c r="J188" s="5"/>
      <c r="K188" s="5"/>
      <c r="L188" s="5"/>
    </row>
    <row r="189" spans="1:59" x14ac:dyDescent="0.25">
      <c r="A189" t="str">
        <f>A118</f>
        <v xml:space="preserve">Interior wall </v>
      </c>
      <c r="H189" s="5" t="s">
        <v>1033</v>
      </c>
      <c r="I189" s="5"/>
      <c r="J189" s="5"/>
      <c r="K189" s="5"/>
      <c r="L189" s="5"/>
    </row>
    <row r="190" spans="1:59" x14ac:dyDescent="0.25">
      <c r="A190" t="str">
        <f>A119</f>
        <v>Bricks</v>
      </c>
      <c r="B190" t="str">
        <f t="shared" ref="B190:D192" si="34">B119</f>
        <v>Tile</v>
      </c>
      <c r="C190" s="69">
        <f t="shared" si="34"/>
        <v>24092.5</v>
      </c>
      <c r="D190" t="str">
        <f t="shared" si="34"/>
        <v xml:space="preserve">kg </v>
      </c>
      <c r="E190">
        <f>(C190/$C$228)*100</f>
        <v>16.006995957699587</v>
      </c>
      <c r="F190" s="69">
        <f>C190/$B$107</f>
        <v>194.86795810247907</v>
      </c>
      <c r="H190" s="5" t="s">
        <v>1034</v>
      </c>
      <c r="I190" s="5"/>
      <c r="J190" s="5"/>
      <c r="K190" s="5"/>
      <c r="L190" s="5"/>
    </row>
    <row r="191" spans="1:59" x14ac:dyDescent="0.25">
      <c r="A191" t="str">
        <f>A120</f>
        <v>Mortar</v>
      </c>
      <c r="B191" t="str">
        <f t="shared" si="34"/>
        <v>Lime</v>
      </c>
      <c r="C191">
        <f t="shared" si="34"/>
        <v>5166.5113439999996</v>
      </c>
      <c r="D191" t="str">
        <f t="shared" si="34"/>
        <v xml:space="preserve">kg </v>
      </c>
      <c r="E191">
        <f>(C191/$C$228)*100</f>
        <v>3.4326170467496966</v>
      </c>
      <c r="F191" s="69">
        <f t="shared" ref="F191:F192" si="35">C191/$B$107</f>
        <v>41.788420301694501</v>
      </c>
      <c r="H191" s="5" t="s">
        <v>1035</v>
      </c>
      <c r="I191" s="5"/>
      <c r="J191" s="5"/>
      <c r="K191" s="5"/>
      <c r="L191" s="5"/>
    </row>
    <row r="192" spans="1:59" x14ac:dyDescent="0.25">
      <c r="A192" t="str">
        <f>A121</f>
        <v>Mortar, Plaster</v>
      </c>
      <c r="B192" t="str">
        <f t="shared" si="34"/>
        <v>Lime</v>
      </c>
      <c r="C192">
        <f t="shared" si="34"/>
        <v>3826.3387499999999</v>
      </c>
      <c r="D192" t="str">
        <f t="shared" si="34"/>
        <v xml:space="preserve">kg </v>
      </c>
      <c r="E192">
        <f>(C192/$C$228)*100</f>
        <v>2.5422097708431792</v>
      </c>
      <c r="F192" s="69">
        <f t="shared" si="35"/>
        <v>30.948669470619159</v>
      </c>
      <c r="H192" s="5" t="s">
        <v>1036</v>
      </c>
      <c r="I192" s="5"/>
      <c r="J192" s="5"/>
      <c r="K192" s="5"/>
      <c r="L192" s="5"/>
    </row>
    <row r="193" spans="1:12" x14ac:dyDescent="0.25">
      <c r="E193">
        <f>SUM(E190:E192)</f>
        <v>21.981822775292464</v>
      </c>
      <c r="H193" s="5" t="s">
        <v>578</v>
      </c>
      <c r="I193" s="87">
        <f>C130</f>
        <v>167.096</v>
      </c>
      <c r="J193" s="5"/>
      <c r="K193" s="5"/>
      <c r="L193" s="5"/>
    </row>
    <row r="194" spans="1:12" x14ac:dyDescent="0.25">
      <c r="A194" t="str">
        <f>A123</f>
        <v xml:space="preserve">Doors/windows </v>
      </c>
      <c r="H194" s="5" t="s">
        <v>1037</v>
      </c>
      <c r="I194" s="5"/>
      <c r="J194" s="5"/>
      <c r="K194" s="5"/>
      <c r="L194" s="5"/>
    </row>
    <row r="195" spans="1:12" x14ac:dyDescent="0.25">
      <c r="A195" t="str">
        <f>A124</f>
        <v xml:space="preserve">Doors, outside </v>
      </c>
      <c r="B195" t="str">
        <f>B124</f>
        <v xml:space="preserve">Wood </v>
      </c>
      <c r="C195">
        <f>C124*B232</f>
        <v>109.83900000000001</v>
      </c>
      <c r="D195" t="s">
        <v>119</v>
      </c>
      <c r="E195">
        <f>(C195/$C$228)*100</f>
        <v>7.297675330487767E-2</v>
      </c>
      <c r="F195" s="69">
        <f t="shared" ref="F195:F198" si="36">C195/$B$107</f>
        <v>0.88841347514862301</v>
      </c>
      <c r="H195" s="5" t="s">
        <v>1038</v>
      </c>
      <c r="I195" s="5"/>
      <c r="J195" s="5"/>
      <c r="K195" s="5"/>
      <c r="L195" s="5"/>
    </row>
    <row r="196" spans="1:12" x14ac:dyDescent="0.25">
      <c r="A196" t="str">
        <f>A126</f>
        <v xml:space="preserve">Doors, inside </v>
      </c>
      <c r="B196" t="str">
        <f>B126</f>
        <v xml:space="preserve">Wood </v>
      </c>
      <c r="C196">
        <f>C126*B233</f>
        <v>419.72299999999996</v>
      </c>
      <c r="D196" t="s">
        <v>119</v>
      </c>
      <c r="E196">
        <f>(C196/$C$228)*100</f>
        <v>0.27886289776293632</v>
      </c>
      <c r="F196" s="69">
        <f t="shared" si="36"/>
        <v>3.3948558256157231</v>
      </c>
      <c r="H196" s="5" t="s">
        <v>1039</v>
      </c>
      <c r="I196" s="5"/>
      <c r="J196" s="5"/>
      <c r="K196" s="5"/>
      <c r="L196" s="5"/>
    </row>
    <row r="197" spans="1:12" x14ac:dyDescent="0.25">
      <c r="A197" t="str">
        <f>A128</f>
        <v>Window frame</v>
      </c>
      <c r="B197" t="str">
        <f>B128</f>
        <v xml:space="preserve">Wood </v>
      </c>
      <c r="C197">
        <f>C128*B232</f>
        <v>48.48507692307691</v>
      </c>
      <c r="D197" t="s">
        <v>119</v>
      </c>
      <c r="E197">
        <f>(C197/$C$228)*100</f>
        <v>3.2213362262797376E-2</v>
      </c>
      <c r="F197" s="69">
        <f t="shared" si="36"/>
        <v>0.39216303573483974</v>
      </c>
      <c r="H197" s="5" t="s">
        <v>1040</v>
      </c>
      <c r="I197" s="5"/>
      <c r="J197" s="5"/>
      <c r="K197" s="5"/>
      <c r="L197" s="5"/>
    </row>
    <row r="198" spans="1:12" x14ac:dyDescent="0.25">
      <c r="A198" t="str">
        <f>A130</f>
        <v>Window glass</v>
      </c>
      <c r="B198" t="str">
        <f>B130</f>
        <v>Glass</v>
      </c>
      <c r="C198">
        <f>C130</f>
        <v>167.096</v>
      </c>
      <c r="D198" t="str">
        <f>D130</f>
        <v>kg</v>
      </c>
      <c r="E198">
        <f>(C198/$C$228)*100</f>
        <v>0.11101815903487686</v>
      </c>
      <c r="F198" s="69">
        <f t="shared" si="36"/>
        <v>1.3515266712500504</v>
      </c>
      <c r="H198" s="5" t="s">
        <v>1041</v>
      </c>
      <c r="I198" s="5"/>
      <c r="J198" s="5"/>
      <c r="K198" s="5"/>
      <c r="L198" s="5"/>
    </row>
    <row r="199" spans="1:12" x14ac:dyDescent="0.25">
      <c r="E199">
        <f>SUM(E195:E198)</f>
        <v>0.49507117236548825</v>
      </c>
      <c r="H199" s="5" t="s">
        <v>1042</v>
      </c>
      <c r="I199" s="87">
        <f>C116+C120+C121+C134+C135+C160</f>
        <v>27795.469592999998</v>
      </c>
      <c r="J199" s="5"/>
      <c r="K199" s="87">
        <f>C112</f>
        <v>1559.6769374999994</v>
      </c>
      <c r="L199" s="5"/>
    </row>
    <row r="200" spans="1:12" x14ac:dyDescent="0.25">
      <c r="A200" t="str">
        <f>A132</f>
        <v>Partitions</v>
      </c>
      <c r="H200" s="5" t="s">
        <v>1043</v>
      </c>
      <c r="I200" s="5"/>
      <c r="J200" s="5"/>
      <c r="K200" s="5"/>
      <c r="L200" s="5"/>
    </row>
    <row r="201" spans="1:12" x14ac:dyDescent="0.25">
      <c r="A201" t="str">
        <f>A133</f>
        <v>Bricks</v>
      </c>
      <c r="B201" t="str">
        <f t="shared" ref="B201:D203" si="37">B133</f>
        <v>Tile</v>
      </c>
      <c r="C201">
        <f t="shared" si="37"/>
        <v>23032.5</v>
      </c>
      <c r="D201" t="str">
        <f t="shared" si="37"/>
        <v>kg</v>
      </c>
      <c r="E201">
        <f>(C201/$C$228)*100</f>
        <v>15.302734643383451</v>
      </c>
      <c r="F201" s="69">
        <f t="shared" ref="F201:F203" si="38">C201/$B$107</f>
        <v>186.29433412868522</v>
      </c>
      <c r="H201" s="5" t="s">
        <v>1044</v>
      </c>
      <c r="I201" s="5"/>
      <c r="J201" s="5"/>
      <c r="K201" s="5"/>
      <c r="L201" s="5"/>
    </row>
    <row r="202" spans="1:12" x14ac:dyDescent="0.25">
      <c r="A202" t="str">
        <f>A134</f>
        <v>Mortar</v>
      </c>
      <c r="B202" t="str">
        <f t="shared" si="37"/>
        <v>Lime</v>
      </c>
      <c r="C202">
        <f t="shared" si="37"/>
        <v>4939.1998559999984</v>
      </c>
      <c r="D202" t="str">
        <f t="shared" si="37"/>
        <v>kg</v>
      </c>
      <c r="E202">
        <f>(C202/$C$228)*100</f>
        <v>3.2815918700534343</v>
      </c>
      <c r="F202" s="69">
        <f t="shared" si="38"/>
        <v>39.949851223359069</v>
      </c>
      <c r="H202" s="5" t="s">
        <v>1045</v>
      </c>
      <c r="I202" s="5"/>
      <c r="J202" s="5"/>
      <c r="K202" s="5"/>
      <c r="L202" s="5"/>
    </row>
    <row r="203" spans="1:12" x14ac:dyDescent="0.25">
      <c r="A203" t="str">
        <f>A135</f>
        <v>Mortar, Plaster</v>
      </c>
      <c r="B203" t="str">
        <f t="shared" si="37"/>
        <v>Lime</v>
      </c>
      <c r="C203">
        <f t="shared" si="37"/>
        <v>7156.8300000000017</v>
      </c>
      <c r="D203" t="str">
        <f t="shared" si="37"/>
        <v>kg</v>
      </c>
      <c r="E203">
        <f>(C203/$C$228)*100</f>
        <v>4.7549797189973306</v>
      </c>
      <c r="F203" s="69">
        <f t="shared" si="38"/>
        <v>57.886763456949907</v>
      </c>
      <c r="H203" s="5" t="s">
        <v>1046</v>
      </c>
      <c r="I203" s="5"/>
      <c r="J203" s="5"/>
      <c r="K203" s="5"/>
      <c r="L203" s="5"/>
    </row>
    <row r="204" spans="1:12" x14ac:dyDescent="0.25">
      <c r="E204">
        <f>SUM(E201:E203)</f>
        <v>23.339306232434215</v>
      </c>
      <c r="H204" s="5" t="s">
        <v>1047</v>
      </c>
      <c r="I204" s="5"/>
      <c r="J204" s="5"/>
      <c r="K204" s="5"/>
      <c r="L204" s="5"/>
    </row>
    <row r="205" spans="1:12" x14ac:dyDescent="0.25">
      <c r="A205" t="str">
        <f t="shared" ref="A205:B211" si="39">A137</f>
        <v>horizontal division</v>
      </c>
      <c r="H205" s="5" t="s">
        <v>1048</v>
      </c>
      <c r="I205" s="5"/>
      <c r="J205" s="87">
        <f>C143</f>
        <v>245.018125</v>
      </c>
      <c r="L205" s="87"/>
    </row>
    <row r="206" spans="1:12" x14ac:dyDescent="0.25">
      <c r="A206" t="str">
        <f t="shared" si="39"/>
        <v xml:space="preserve">Beams </v>
      </c>
      <c r="B206" t="str">
        <f t="shared" si="39"/>
        <v>Wood</v>
      </c>
      <c r="C206">
        <f>C138*B232</f>
        <v>2801.7245625</v>
      </c>
      <c r="D206" t="s">
        <v>119</v>
      </c>
      <c r="E206">
        <f t="shared" ref="E206:E211" si="40">(C206/$C$228)*100</f>
        <v>1.8614587006962811</v>
      </c>
      <c r="F206" s="69">
        <f t="shared" ref="F206:F211" si="41">C206/$B$107</f>
        <v>22.661257431148137</v>
      </c>
      <c r="H206" s="5" t="s">
        <v>1049</v>
      </c>
      <c r="I206" s="5"/>
      <c r="J206" s="5"/>
      <c r="K206" s="87"/>
      <c r="L206" s="5"/>
    </row>
    <row r="207" spans="1:12" x14ac:dyDescent="0.25">
      <c r="A207" t="str">
        <f t="shared" si="39"/>
        <v>Pugging boards</v>
      </c>
      <c r="B207" t="str">
        <f t="shared" si="39"/>
        <v>Wood</v>
      </c>
      <c r="C207">
        <f>C139*B233</f>
        <v>782.91354166666679</v>
      </c>
      <c r="D207" t="s">
        <v>119</v>
      </c>
      <c r="E207">
        <f t="shared" si="40"/>
        <v>0.52016577344346182</v>
      </c>
      <c r="F207" s="69">
        <f t="shared" si="41"/>
        <v>6.332458783246385</v>
      </c>
      <c r="H207" s="5" t="s">
        <v>1050</v>
      </c>
      <c r="I207" s="5"/>
      <c r="J207" s="5"/>
      <c r="K207" s="5"/>
      <c r="L207" s="5"/>
    </row>
    <row r="208" spans="1:12" x14ac:dyDescent="0.25">
      <c r="A208" t="str">
        <f t="shared" si="39"/>
        <v>Pugging</v>
      </c>
      <c r="B208" t="str">
        <f t="shared" si="39"/>
        <v xml:space="preserve">Clay </v>
      </c>
      <c r="C208">
        <f>C140</f>
        <v>6408.9666666666672</v>
      </c>
      <c r="D208" t="str">
        <f>D140</f>
        <v>kg</v>
      </c>
      <c r="E208">
        <f t="shared" si="40"/>
        <v>4.2581012151650821</v>
      </c>
      <c r="F208" s="69">
        <f t="shared" si="41"/>
        <v>51.837802132621562</v>
      </c>
      <c r="H208" s="5" t="s">
        <v>1051</v>
      </c>
      <c r="I208" s="5"/>
      <c r="J208" s="5"/>
      <c r="K208" s="5"/>
      <c r="L208" s="5"/>
    </row>
    <row r="209" spans="1:12" x14ac:dyDescent="0.25">
      <c r="A209" t="str">
        <f t="shared" si="39"/>
        <v xml:space="preserve">Ceiling </v>
      </c>
      <c r="B209" t="str">
        <f t="shared" si="39"/>
        <v>Wood</v>
      </c>
      <c r="C209">
        <f>C141*B233</f>
        <v>1102.9930000000002</v>
      </c>
      <c r="D209" t="s">
        <v>119</v>
      </c>
      <c r="E209">
        <f t="shared" si="40"/>
        <v>0.73282575458632127</v>
      </c>
      <c r="F209" s="69">
        <f t="shared" si="41"/>
        <v>8.9213653091762044</v>
      </c>
      <c r="H209" s="5" t="s">
        <v>1052</v>
      </c>
      <c r="I209" s="5"/>
      <c r="J209" s="5"/>
      <c r="K209" s="5"/>
      <c r="L209" s="5"/>
    </row>
    <row r="210" spans="1:12" x14ac:dyDescent="0.25">
      <c r="A210" t="str">
        <f t="shared" si="39"/>
        <v>Floor boards</v>
      </c>
      <c r="B210" t="str">
        <f t="shared" si="39"/>
        <v>Wood</v>
      </c>
      <c r="C210">
        <f>C142*B232</f>
        <v>3066.5430000000001</v>
      </c>
      <c r="D210" t="s">
        <v>119</v>
      </c>
      <c r="E210">
        <f t="shared" si="40"/>
        <v>2.037403399610334</v>
      </c>
      <c r="F210" s="69">
        <f t="shared" si="41"/>
        <v>24.803194888178915</v>
      </c>
      <c r="H210" s="5" t="s">
        <v>1053</v>
      </c>
      <c r="I210" s="87">
        <f>C124+C126+C128</f>
        <v>1.2538615384615384</v>
      </c>
      <c r="J210" s="87">
        <f>C152+C138+C139+C141+C142</f>
        <v>16.118515269969592</v>
      </c>
      <c r="K210" s="87"/>
      <c r="L210" s="87">
        <f>C148</f>
        <v>24.008183750000001</v>
      </c>
    </row>
    <row r="211" spans="1:12" x14ac:dyDescent="0.25">
      <c r="A211" t="str">
        <f t="shared" si="39"/>
        <v>Wall anchor</v>
      </c>
      <c r="B211" t="str">
        <f t="shared" si="39"/>
        <v>Iron</v>
      </c>
      <c r="C211">
        <f>C143</f>
        <v>245.018125</v>
      </c>
      <c r="D211" t="str">
        <f>D143</f>
        <v>kg</v>
      </c>
      <c r="E211">
        <f t="shared" si="40"/>
        <v>0.16278942145639236</v>
      </c>
      <c r="F211" s="69">
        <f t="shared" si="41"/>
        <v>1.9817861042585028</v>
      </c>
      <c r="H211" s="5" t="s">
        <v>1054</v>
      </c>
      <c r="I211" s="5"/>
      <c r="J211" s="5"/>
      <c r="K211" s="5"/>
      <c r="L211" s="5"/>
    </row>
    <row r="212" spans="1:12" x14ac:dyDescent="0.25">
      <c r="E212">
        <f>SUM(E206:E211)</f>
        <v>9.5727442649578727</v>
      </c>
      <c r="H212" s="5" t="s">
        <v>561</v>
      </c>
      <c r="I212" s="87">
        <f>C155+C156</f>
        <v>367.15145820513715</v>
      </c>
      <c r="J212" s="5"/>
      <c r="K212" s="5"/>
      <c r="L212" s="5"/>
    </row>
    <row r="213" spans="1:12" x14ac:dyDescent="0.25">
      <c r="A213" t="str">
        <f>A147</f>
        <v>Roof</v>
      </c>
      <c r="H213" s="5" t="s">
        <v>1055</v>
      </c>
      <c r="I213" s="5"/>
      <c r="J213" s="5"/>
      <c r="K213" s="5"/>
      <c r="L213" s="5"/>
    </row>
    <row r="214" spans="1:12" x14ac:dyDescent="0.25">
      <c r="A214" t="str">
        <f>A148</f>
        <v>Trusses</v>
      </c>
      <c r="B214" t="str">
        <f>B148</f>
        <v>Wood</v>
      </c>
      <c r="C214">
        <f>C148*B232</f>
        <v>13684.664737500001</v>
      </c>
      <c r="D214" t="s">
        <v>119</v>
      </c>
      <c r="E214">
        <f>(C214/$C$228)*100</f>
        <v>9.0920565792523256</v>
      </c>
      <c r="F214" s="69">
        <f t="shared" ref="F214:F215" si="42">C214/$B$107</f>
        <v>110.68600911958588</v>
      </c>
    </row>
    <row r="215" spans="1:12" x14ac:dyDescent="0.25">
      <c r="A215" t="str">
        <f>A149</f>
        <v>Tile</v>
      </c>
      <c r="B215" t="str">
        <f>B149</f>
        <v>Tile</v>
      </c>
      <c r="C215">
        <f>C149</f>
        <v>5460.3924747993506</v>
      </c>
      <c r="D215" t="str">
        <f>D149</f>
        <v>kg</v>
      </c>
      <c r="E215">
        <f>(C215/$C$228)*100</f>
        <v>3.6278709254567381</v>
      </c>
      <c r="F215" s="69">
        <f t="shared" si="42"/>
        <v>44.165426253078422</v>
      </c>
    </row>
    <row r="216" spans="1:12" x14ac:dyDescent="0.25">
      <c r="E216">
        <f>SUM(E214:E215)</f>
        <v>12.719927504709064</v>
      </c>
    </row>
    <row r="217" spans="1:12" x14ac:dyDescent="0.25">
      <c r="A217" t="str">
        <f>A151</f>
        <v>Stairs</v>
      </c>
    </row>
    <row r="218" spans="1:12" x14ac:dyDescent="0.25">
      <c r="A218" t="str">
        <f>A152</f>
        <v>Staircase</v>
      </c>
      <c r="B218" t="str">
        <f>B152</f>
        <v>wood</v>
      </c>
      <c r="C218">
        <f>C152*B232</f>
        <v>819.36351638266854</v>
      </c>
      <c r="D218" t="s">
        <v>119</v>
      </c>
      <c r="E218">
        <f>(C218/$C$228)*100</f>
        <v>0.54438304429278384</v>
      </c>
      <c r="F218" s="69">
        <f t="shared" ref="F218" si="43">C218/$B$107</f>
        <v>6.6272780068966597</v>
      </c>
    </row>
    <row r="220" spans="1:12" x14ac:dyDescent="0.25">
      <c r="A220" t="str">
        <f>A154</f>
        <v>Drain pipes</v>
      </c>
    </row>
    <row r="221" spans="1:12" x14ac:dyDescent="0.25">
      <c r="A221" t="str">
        <f>A155</f>
        <v>Drain pipe</v>
      </c>
      <c r="B221" t="str">
        <f t="shared" ref="B221:D222" si="44">B155</f>
        <v>Zinc</v>
      </c>
      <c r="C221">
        <f t="shared" si="44"/>
        <v>171.85047907305804</v>
      </c>
      <c r="D221" t="str">
        <f t="shared" si="44"/>
        <v>kg</v>
      </c>
      <c r="E221">
        <f>(C221/$C$228)*100</f>
        <v>0.11417702288476406</v>
      </c>
      <c r="F221" s="69">
        <f t="shared" ref="F221:F222" si="45">C221/$B$107</f>
        <v>1.3899824408384198</v>
      </c>
    </row>
    <row r="222" spans="1:12" x14ac:dyDescent="0.25">
      <c r="A222" t="str">
        <f>A156</f>
        <v>Gutter</v>
      </c>
      <c r="B222" t="str">
        <f t="shared" si="44"/>
        <v>Zinc</v>
      </c>
      <c r="C222">
        <f t="shared" si="44"/>
        <v>195.30097913207908</v>
      </c>
      <c r="D222" t="str">
        <f t="shared" si="44"/>
        <v>kg</v>
      </c>
      <c r="E222">
        <f>(C222/$C$228)*100</f>
        <v>0.12975747570828935</v>
      </c>
      <c r="F222" s="69">
        <f t="shared" si="45"/>
        <v>1.5796576950869825</v>
      </c>
    </row>
    <row r="223" spans="1:12" x14ac:dyDescent="0.25">
      <c r="E223">
        <f>SUM(E221:E222)</f>
        <v>0.24393449859305341</v>
      </c>
    </row>
    <row r="224" spans="1:12" x14ac:dyDescent="0.25">
      <c r="A224" t="str">
        <f>A158</f>
        <v>Chimney</v>
      </c>
    </row>
    <row r="225" spans="1:6" x14ac:dyDescent="0.25">
      <c r="A225" t="str">
        <f>A159</f>
        <v>Brick</v>
      </c>
      <c r="B225" t="str">
        <f t="shared" ref="B225:D226" si="46">B159</f>
        <v>Tile</v>
      </c>
      <c r="C225">
        <f t="shared" si="46"/>
        <v>7181.7003676470595</v>
      </c>
      <c r="D225" t="str">
        <f t="shared" si="46"/>
        <v>kg</v>
      </c>
      <c r="E225">
        <f>(C225/$C$228)*100</f>
        <v>4.7715035282488802</v>
      </c>
      <c r="F225" s="69">
        <f t="shared" ref="F225:F226" si="47">C225/$B$107</f>
        <v>58.08792306100262</v>
      </c>
    </row>
    <row r="226" spans="1:6" x14ac:dyDescent="0.25">
      <c r="A226" t="str">
        <f>A160</f>
        <v>Mortar</v>
      </c>
      <c r="B226" t="str">
        <f t="shared" si="46"/>
        <v>Lime</v>
      </c>
      <c r="C226">
        <f t="shared" si="46"/>
        <v>1540.0782989999998</v>
      </c>
      <c r="D226" t="str">
        <f t="shared" si="46"/>
        <v>kg</v>
      </c>
      <c r="E226">
        <f>(C226/$C$228)*100</f>
        <v>1.023224119814625</v>
      </c>
      <c r="F226" s="69">
        <f t="shared" si="47"/>
        <v>12.456653043232093</v>
      </c>
    </row>
    <row r="227" spans="1:6" x14ac:dyDescent="0.25">
      <c r="E227">
        <f>SUM(E225:E226)</f>
        <v>5.794727648063505</v>
      </c>
    </row>
    <row r="228" spans="1:6" x14ac:dyDescent="0.25">
      <c r="C228">
        <f>SUM(C182:C226)</f>
        <v>150512.31388867297</v>
      </c>
      <c r="F228" s="69"/>
    </row>
    <row r="231" spans="1:6" x14ac:dyDescent="0.25">
      <c r="A231" t="s">
        <v>1056</v>
      </c>
    </row>
    <row r="232" spans="1:6" x14ac:dyDescent="0.25">
      <c r="A232" t="s">
        <v>1057</v>
      </c>
      <c r="B232">
        <v>570</v>
      </c>
      <c r="C232" t="s">
        <v>35</v>
      </c>
    </row>
    <row r="233" spans="1:6" x14ac:dyDescent="0.25">
      <c r="A233" t="s">
        <v>1058</v>
      </c>
      <c r="B233">
        <v>430</v>
      </c>
      <c r="C233" t="s">
        <v>35</v>
      </c>
    </row>
  </sheetData>
  <pageMargins left="0.7" right="0.7" top="0.75" bottom="0.75" header="0.3" footer="0.3"/>
  <drawing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4EAD03-0373-4D25-882C-115527F24039}">
  <sheetPr>
    <tabColor theme="9" tint="0.59999389629810485"/>
  </sheetPr>
  <dimension ref="A1:CE271"/>
  <sheetViews>
    <sheetView zoomScale="25" zoomScaleNormal="25" workbookViewId="0">
      <selection activeCell="P190" sqref="P190"/>
    </sheetView>
  </sheetViews>
  <sheetFormatPr defaultColWidth="11.42578125" defaultRowHeight="15" x14ac:dyDescent="0.25"/>
  <cols>
    <col min="1" max="1" width="20.42578125" customWidth="1"/>
    <col min="2" max="2" width="17" customWidth="1"/>
    <col min="3" max="3" width="11.7109375" bestFit="1" customWidth="1"/>
    <col min="4" max="4" width="26.140625" customWidth="1"/>
    <col min="5" max="5" width="19.7109375" bestFit="1" customWidth="1"/>
    <col min="6" max="6" width="17.140625" customWidth="1"/>
    <col min="7" max="7" width="17.42578125" customWidth="1"/>
    <col min="9" max="9" width="55.7109375" bestFit="1" customWidth="1"/>
    <col min="11" max="11" width="25.140625" customWidth="1"/>
    <col min="12" max="12" width="18.42578125" bestFit="1" customWidth="1"/>
    <col min="13" max="13" width="23.140625" bestFit="1" customWidth="1"/>
    <col min="15" max="15" width="29" bestFit="1" customWidth="1"/>
    <col min="18" max="18" width="29.28515625" customWidth="1"/>
    <col min="19" max="19" width="42.42578125" bestFit="1" customWidth="1"/>
    <col min="20" max="20" width="48.140625" bestFit="1" customWidth="1"/>
    <col min="21" max="21" width="15.7109375" customWidth="1"/>
    <col min="23" max="23" width="41" bestFit="1" customWidth="1"/>
    <col min="24" max="24" width="30.7109375" customWidth="1"/>
    <col min="25" max="25" width="18" bestFit="1" customWidth="1"/>
    <col min="28" max="28" width="15.7109375" customWidth="1"/>
    <col min="31" max="31" width="24.7109375" bestFit="1" customWidth="1"/>
    <col min="34" max="34" width="19.140625" customWidth="1"/>
    <col min="38" max="38" width="26.7109375" bestFit="1" customWidth="1"/>
    <col min="42" max="42" width="26.28515625" bestFit="1" customWidth="1"/>
    <col min="46" max="46" width="47.7109375" bestFit="1" customWidth="1"/>
    <col min="50" max="50" width="15.7109375" bestFit="1" customWidth="1"/>
    <col min="54" max="54" width="20.7109375" customWidth="1"/>
    <col min="57" max="57" width="28.7109375" bestFit="1" customWidth="1"/>
    <col min="61" max="61" width="26.7109375" customWidth="1"/>
    <col min="65" max="65" width="26.7109375" bestFit="1" customWidth="1"/>
    <col min="73" max="73" width="17.7109375" bestFit="1" customWidth="1"/>
    <col min="76" max="76" width="11.7109375" customWidth="1"/>
    <col min="77" max="77" width="19.7109375" customWidth="1"/>
    <col min="78" max="78" width="11.7109375" bestFit="1" customWidth="1"/>
    <col min="82" max="82" width="11.7109375" bestFit="1" customWidth="1"/>
  </cols>
  <sheetData>
    <row r="1" spans="1:11" ht="18.75" x14ac:dyDescent="0.3">
      <c r="A1" s="1" t="s">
        <v>1</v>
      </c>
      <c r="B1" s="2"/>
      <c r="E1" s="3" t="s">
        <v>2</v>
      </c>
      <c r="F1" s="4"/>
      <c r="G1" s="2"/>
    </row>
    <row r="2" spans="1:11" x14ac:dyDescent="0.25">
      <c r="A2" s="5" t="s">
        <v>4</v>
      </c>
      <c r="B2" s="5" t="s">
        <v>5</v>
      </c>
      <c r="E2" s="6" t="s">
        <v>6</v>
      </c>
      <c r="F2" s="4"/>
      <c r="G2" s="2"/>
      <c r="I2" s="9" t="s">
        <v>22</v>
      </c>
      <c r="J2" s="9">
        <v>0.04</v>
      </c>
      <c r="K2" s="9" t="s">
        <v>23</v>
      </c>
    </row>
    <row r="3" spans="1:11" x14ac:dyDescent="0.25">
      <c r="A3" s="5" t="s">
        <v>10</v>
      </c>
      <c r="B3" s="5" t="s">
        <v>1059</v>
      </c>
      <c r="E3" s="5" t="s">
        <v>12</v>
      </c>
      <c r="F3" s="5">
        <v>22.8</v>
      </c>
      <c r="G3" s="5" t="s">
        <v>8</v>
      </c>
      <c r="I3" s="5" t="s">
        <v>27</v>
      </c>
      <c r="J3" s="5">
        <v>4.0000000000000001E-3</v>
      </c>
      <c r="K3" s="5" t="s">
        <v>23</v>
      </c>
    </row>
    <row r="4" spans="1:11" x14ac:dyDescent="0.25">
      <c r="A4" s="5" t="s">
        <v>9</v>
      </c>
      <c r="B4" s="5">
        <v>1902</v>
      </c>
      <c r="E4" s="5" t="s">
        <v>14</v>
      </c>
      <c r="F4" s="8">
        <v>10.8</v>
      </c>
      <c r="G4" s="5" t="s">
        <v>8</v>
      </c>
      <c r="I4" t="s">
        <v>34</v>
      </c>
      <c r="J4">
        <f>((2.4+2.8)/2)*10^3</f>
        <v>2599.9999999999995</v>
      </c>
      <c r="K4" t="s">
        <v>35</v>
      </c>
    </row>
    <row r="5" spans="1:11" x14ac:dyDescent="0.25">
      <c r="A5" s="5" t="s">
        <v>17</v>
      </c>
      <c r="B5" s="18">
        <v>1924</v>
      </c>
      <c r="E5" s="9" t="s">
        <v>13</v>
      </c>
      <c r="F5" s="9">
        <v>5.4</v>
      </c>
      <c r="G5" s="9" t="s">
        <v>8</v>
      </c>
      <c r="I5" t="s">
        <v>40</v>
      </c>
      <c r="J5">
        <f>2*10^-2</f>
        <v>0.02</v>
      </c>
      <c r="K5" t="s">
        <v>23</v>
      </c>
    </row>
    <row r="6" spans="1:11" x14ac:dyDescent="0.25">
      <c r="E6" s="5" t="s">
        <v>20</v>
      </c>
      <c r="F6" s="5">
        <f>(F5)*(F4)*(F3)*(10^-6)</f>
        <v>1.329696E-3</v>
      </c>
      <c r="G6" s="5" t="s">
        <v>21</v>
      </c>
    </row>
    <row r="7" spans="1:11" ht="18.75" x14ac:dyDescent="0.3">
      <c r="A7" s="1" t="s">
        <v>25</v>
      </c>
      <c r="B7" s="4"/>
      <c r="C7" s="2"/>
      <c r="E7" s="7" t="s">
        <v>26</v>
      </c>
      <c r="F7" s="7">
        <v>1</v>
      </c>
      <c r="G7" s="7" t="s">
        <v>8</v>
      </c>
    </row>
    <row r="8" spans="1:11" x14ac:dyDescent="0.25">
      <c r="A8" s="5" t="s">
        <v>31</v>
      </c>
      <c r="B8" s="5">
        <v>25.9</v>
      </c>
      <c r="C8" s="5"/>
      <c r="E8" s="5" t="s">
        <v>32</v>
      </c>
      <c r="F8" s="5">
        <f>((F3*10^-2)*(F5*10^-2))</f>
        <v>1.2312000000000002E-2</v>
      </c>
      <c r="G8" s="5" t="s">
        <v>33</v>
      </c>
    </row>
    <row r="9" spans="1:11" x14ac:dyDescent="0.25">
      <c r="A9" s="5" t="s">
        <v>38</v>
      </c>
      <c r="B9" s="5"/>
      <c r="C9" s="5"/>
      <c r="E9" s="5" t="s">
        <v>39</v>
      </c>
      <c r="F9" s="5">
        <f>((F3+F7)*10^-2)*((F5+F7)*10^-2)</f>
        <v>1.5232000000000001E-2</v>
      </c>
      <c r="G9" s="5" t="s">
        <v>33</v>
      </c>
    </row>
    <row r="10" spans="1:11" x14ac:dyDescent="0.25">
      <c r="A10" s="5" t="s">
        <v>43</v>
      </c>
      <c r="B10" s="5">
        <v>1</v>
      </c>
      <c r="C10" s="5">
        <v>50</v>
      </c>
      <c r="E10" s="5" t="s">
        <v>44</v>
      </c>
      <c r="F10" s="5">
        <f>F8/F9</f>
        <v>0.80829831932773122</v>
      </c>
      <c r="G10" s="5" t="s">
        <v>45</v>
      </c>
    </row>
    <row r="11" spans="1:11" x14ac:dyDescent="0.25">
      <c r="A11" s="5" t="s">
        <v>54</v>
      </c>
      <c r="B11" s="5">
        <f>B8*$C$10*10^-2</f>
        <v>12.950000000000001</v>
      </c>
      <c r="C11" s="5" t="s">
        <v>23</v>
      </c>
      <c r="E11" s="5" t="s">
        <v>49</v>
      </c>
      <c r="F11" s="5">
        <f>2.5</f>
        <v>2.5</v>
      </c>
      <c r="G11" s="5" t="s">
        <v>50</v>
      </c>
    </row>
    <row r="12" spans="1:11" x14ac:dyDescent="0.25">
      <c r="A12" s="5" t="s">
        <v>7</v>
      </c>
      <c r="B12" s="5">
        <f>H38</f>
        <v>9.15</v>
      </c>
      <c r="C12" s="5" t="s">
        <v>23</v>
      </c>
      <c r="E12" s="5" t="s">
        <v>55</v>
      </c>
      <c r="F12" s="5">
        <v>1700</v>
      </c>
      <c r="G12" s="5" t="s">
        <v>35</v>
      </c>
    </row>
    <row r="13" spans="1:11" x14ac:dyDescent="0.25">
      <c r="A13" s="5" t="s">
        <v>59</v>
      </c>
      <c r="B13" s="5">
        <f>B22</f>
        <v>7.55</v>
      </c>
      <c r="C13" s="5" t="s">
        <v>23</v>
      </c>
      <c r="E13" s="36"/>
    </row>
    <row r="14" spans="1:11" x14ac:dyDescent="0.25">
      <c r="A14" s="5" t="s">
        <v>61</v>
      </c>
      <c r="B14" s="5">
        <f>B11*B12</f>
        <v>118.49250000000002</v>
      </c>
      <c r="C14" s="5" t="s">
        <v>33</v>
      </c>
    </row>
    <row r="17" spans="1:79" x14ac:dyDescent="0.25">
      <c r="A17" s="21" t="s">
        <v>534</v>
      </c>
      <c r="B17" s="4"/>
      <c r="C17" s="4"/>
      <c r="D17" s="4"/>
      <c r="E17" s="4"/>
      <c r="F17" s="4"/>
      <c r="G17" s="4"/>
      <c r="H17" s="4"/>
      <c r="I17" s="2"/>
      <c r="K17" s="21" t="s">
        <v>1060</v>
      </c>
      <c r="L17" s="4"/>
      <c r="M17" s="2"/>
      <c r="O17" s="14" t="s">
        <v>1061</v>
      </c>
      <c r="P17" s="5"/>
      <c r="Q17" s="5"/>
      <c r="S17" s="5" t="s">
        <v>1062</v>
      </c>
      <c r="T17" s="5"/>
      <c r="U17" s="5"/>
      <c r="W17" s="14" t="s">
        <v>1063</v>
      </c>
      <c r="X17" s="5"/>
      <c r="Y17" s="5"/>
      <c r="AB17" s="21" t="s">
        <v>73</v>
      </c>
      <c r="AC17" s="4"/>
      <c r="AD17" s="4"/>
      <c r="AE17" s="4"/>
      <c r="AF17" s="4"/>
      <c r="AG17" s="4"/>
      <c r="AH17" s="4"/>
      <c r="AI17" s="4"/>
      <c r="AJ17" s="2"/>
      <c r="AL17" s="14" t="s">
        <v>64</v>
      </c>
      <c r="AM17" s="5"/>
      <c r="AN17" s="5"/>
      <c r="AP17" s="14" t="s">
        <v>603</v>
      </c>
      <c r="AQ17" s="5"/>
      <c r="AR17" s="5"/>
      <c r="AT17" s="5" t="s">
        <v>602</v>
      </c>
      <c r="AU17" s="5"/>
      <c r="AV17" s="5"/>
      <c r="AX17" t="s">
        <v>1064</v>
      </c>
    </row>
    <row r="18" spans="1:79" x14ac:dyDescent="0.25">
      <c r="A18" s="6" t="s">
        <v>1065</v>
      </c>
      <c r="B18" s="4"/>
      <c r="C18" s="2"/>
      <c r="D18" s="6" t="s">
        <v>1066</v>
      </c>
      <c r="E18" s="4"/>
      <c r="F18" s="4"/>
      <c r="G18" s="4"/>
      <c r="H18" s="4"/>
      <c r="I18" s="2"/>
      <c r="K18" s="5" t="s">
        <v>136</v>
      </c>
      <c r="L18" s="5">
        <f>(B23/2)+(H29/2)</f>
        <v>83.273124999999993</v>
      </c>
      <c r="M18" s="5" t="s">
        <v>33</v>
      </c>
      <c r="O18" s="5" t="s">
        <v>1067</v>
      </c>
      <c r="P18" s="5"/>
      <c r="Q18" s="5"/>
      <c r="S18" s="5" t="s">
        <v>1068</v>
      </c>
      <c r="T18" s="5">
        <f>P80</f>
        <v>12.5</v>
      </c>
      <c r="U18" s="5" t="s">
        <v>23</v>
      </c>
      <c r="W18" s="5" t="s">
        <v>1069</v>
      </c>
      <c r="X18" s="5"/>
      <c r="Y18" s="5"/>
      <c r="AB18" s="6" t="s">
        <v>85</v>
      </c>
      <c r="AC18" s="4"/>
      <c r="AD18" s="2"/>
      <c r="AE18" s="6" t="s">
        <v>1070</v>
      </c>
      <c r="AF18" s="4"/>
      <c r="AG18" s="2"/>
      <c r="AH18" s="6" t="s">
        <v>1071</v>
      </c>
      <c r="AI18" s="4"/>
      <c r="AJ18" s="2"/>
      <c r="AL18" s="27" t="s">
        <v>1072</v>
      </c>
      <c r="AM18" s="5"/>
      <c r="AN18" s="5"/>
      <c r="AP18" s="5" t="s">
        <v>1073</v>
      </c>
      <c r="AQ18" s="5">
        <v>2</v>
      </c>
      <c r="AR18" s="5"/>
      <c r="AT18" s="5" t="s">
        <v>83</v>
      </c>
      <c r="AU18" s="5">
        <v>2</v>
      </c>
      <c r="AV18" s="5"/>
      <c r="AX18" s="48" t="s">
        <v>85</v>
      </c>
      <c r="BA18" s="48" t="s">
        <v>1070</v>
      </c>
      <c r="BE18" s="27" t="s">
        <v>588</v>
      </c>
      <c r="BF18" s="5"/>
      <c r="BG18" s="5"/>
      <c r="BI18" s="27" t="s">
        <v>604</v>
      </c>
      <c r="BJ18" s="5"/>
      <c r="BK18" s="5"/>
      <c r="BM18" s="25" t="s">
        <v>66</v>
      </c>
      <c r="BN18" s="19"/>
      <c r="BO18" s="26"/>
      <c r="BQ18" s="17" t="s">
        <v>1074</v>
      </c>
      <c r="BU18" s="9" t="s">
        <v>586</v>
      </c>
      <c r="BV18" s="9"/>
      <c r="BW18" s="9"/>
    </row>
    <row r="19" spans="1:79" x14ac:dyDescent="0.25">
      <c r="A19" s="5" t="s">
        <v>673</v>
      </c>
      <c r="B19" s="5">
        <v>26</v>
      </c>
      <c r="C19" s="5" t="s">
        <v>8</v>
      </c>
      <c r="D19" s="5" t="s">
        <v>673</v>
      </c>
      <c r="E19" s="5">
        <v>26</v>
      </c>
      <c r="F19" s="5" t="s">
        <v>8</v>
      </c>
      <c r="G19" s="6" t="s">
        <v>81</v>
      </c>
      <c r="H19" s="4"/>
      <c r="I19" s="2"/>
      <c r="K19" s="5" t="s">
        <v>1075</v>
      </c>
      <c r="L19" s="5">
        <v>1</v>
      </c>
      <c r="M19" s="5"/>
      <c r="O19" s="5" t="s">
        <v>14</v>
      </c>
      <c r="P19" s="5">
        <v>0.14000000000000001</v>
      </c>
      <c r="Q19" s="5" t="s">
        <v>8</v>
      </c>
      <c r="S19" s="5" t="s">
        <v>14</v>
      </c>
      <c r="T19" s="5">
        <f>P26</f>
        <v>5.4984656950825839</v>
      </c>
      <c r="U19" s="5" t="s">
        <v>23</v>
      </c>
      <c r="W19" s="7" t="s">
        <v>14</v>
      </c>
      <c r="X19" s="7">
        <v>7.2999999999999995E-2</v>
      </c>
      <c r="Y19" s="7" t="s">
        <v>23</v>
      </c>
      <c r="AB19" s="5" t="s">
        <v>651</v>
      </c>
      <c r="AC19" s="5">
        <v>5.5</v>
      </c>
      <c r="AD19" s="5" t="s">
        <v>8</v>
      </c>
      <c r="AE19" s="2" t="s">
        <v>651</v>
      </c>
      <c r="AF19" s="5">
        <v>5.4</v>
      </c>
      <c r="AG19" s="5" t="s">
        <v>8</v>
      </c>
      <c r="AH19" s="5" t="s">
        <v>651</v>
      </c>
      <c r="AI19" s="5">
        <v>3.7</v>
      </c>
      <c r="AJ19" s="5" t="s">
        <v>8</v>
      </c>
      <c r="AL19" s="5" t="s">
        <v>12</v>
      </c>
      <c r="AM19" s="5">
        <f>B11</f>
        <v>12.950000000000001</v>
      </c>
      <c r="AN19" s="5" t="s">
        <v>23</v>
      </c>
      <c r="AP19" s="5" t="s">
        <v>14</v>
      </c>
      <c r="AQ19" s="5">
        <v>1</v>
      </c>
      <c r="AR19" s="5" t="s">
        <v>8</v>
      </c>
      <c r="AT19" s="5" t="s">
        <v>1076</v>
      </c>
      <c r="AU19" s="5">
        <v>2</v>
      </c>
      <c r="AV19" s="5"/>
      <c r="AX19" t="s">
        <v>1077</v>
      </c>
      <c r="BA19" t="s">
        <v>1077</v>
      </c>
      <c r="BE19" s="5" t="s">
        <v>1077</v>
      </c>
      <c r="BF19" s="5"/>
      <c r="BG19" s="5"/>
      <c r="BI19" s="5" t="s">
        <v>614</v>
      </c>
      <c r="BJ19" s="5">
        <f>2.5*10^-2</f>
        <v>2.5000000000000001E-2</v>
      </c>
      <c r="BK19" s="5" t="s">
        <v>23</v>
      </c>
      <c r="BM19" s="6" t="s">
        <v>76</v>
      </c>
      <c r="BN19" s="4"/>
      <c r="BO19" s="2"/>
      <c r="BQ19" s="6" t="s">
        <v>615</v>
      </c>
      <c r="BR19" s="4"/>
      <c r="BS19" s="2"/>
      <c r="BU19" s="5" t="s">
        <v>1078</v>
      </c>
      <c r="BV19" s="5"/>
      <c r="BW19" s="5"/>
      <c r="BY19" t="s">
        <v>1079</v>
      </c>
    </row>
    <row r="20" spans="1:79" x14ac:dyDescent="0.25">
      <c r="A20" s="5" t="s">
        <v>1080</v>
      </c>
      <c r="B20" s="5">
        <v>15.1</v>
      </c>
      <c r="C20" s="5" t="s">
        <v>8</v>
      </c>
      <c r="D20" s="5" t="s">
        <v>1080</v>
      </c>
      <c r="E20" s="5">
        <v>14.8</v>
      </c>
      <c r="F20" s="5" t="s">
        <v>8</v>
      </c>
      <c r="G20" s="5" t="s">
        <v>611</v>
      </c>
      <c r="H20" s="5">
        <f>E23-E65-E73</f>
        <v>67.242499999999993</v>
      </c>
      <c r="I20" s="5" t="s">
        <v>33</v>
      </c>
      <c r="K20" s="5" t="s">
        <v>1081</v>
      </c>
      <c r="L20" s="5">
        <v>6</v>
      </c>
      <c r="M20" s="5"/>
      <c r="O20" s="5" t="s">
        <v>1082</v>
      </c>
      <c r="P20" s="5">
        <v>0.14000000000000001</v>
      </c>
      <c r="Q20" s="5" t="s">
        <v>98</v>
      </c>
      <c r="S20" s="5" t="s">
        <v>1083</v>
      </c>
      <c r="T20" s="5">
        <f>T19*T18</f>
        <v>68.730821188532303</v>
      </c>
      <c r="U20" s="5" t="s">
        <v>33</v>
      </c>
      <c r="W20" s="9" t="s">
        <v>303</v>
      </c>
      <c r="X20" s="9">
        <v>3.7999999999999999E-2</v>
      </c>
      <c r="Y20" s="9" t="s">
        <v>23</v>
      </c>
      <c r="AB20" s="5" t="s">
        <v>1084</v>
      </c>
      <c r="AC20" s="5">
        <f>AC19*$C$10*10^-2</f>
        <v>2.75</v>
      </c>
      <c r="AD20" s="5" t="s">
        <v>23</v>
      </c>
      <c r="AE20" s="2" t="s">
        <v>1084</v>
      </c>
      <c r="AF20" s="5">
        <f>AF19*$C$10*10^-2</f>
        <v>2.7</v>
      </c>
      <c r="AG20" s="5" t="s">
        <v>23</v>
      </c>
      <c r="AH20" s="5" t="s">
        <v>1085</v>
      </c>
      <c r="AI20" s="5">
        <v>1.7</v>
      </c>
      <c r="AJ20" s="5" t="s">
        <v>8</v>
      </c>
      <c r="AL20" s="9" t="s">
        <v>14</v>
      </c>
      <c r="AM20" s="9">
        <f>((F4*2+1))*10^-2</f>
        <v>0.22600000000000001</v>
      </c>
      <c r="AN20" s="9" t="s">
        <v>23</v>
      </c>
      <c r="AP20" s="5" t="s">
        <v>158</v>
      </c>
      <c r="AQ20" s="5">
        <f>(AQ19*50)*10^-2</f>
        <v>0.5</v>
      </c>
      <c r="AR20" s="5" t="s">
        <v>23</v>
      </c>
      <c r="AT20" s="5" t="s">
        <v>1086</v>
      </c>
      <c r="AU20" s="5">
        <v>3.1110000000000002</v>
      </c>
      <c r="AV20" s="5" t="s">
        <v>23</v>
      </c>
      <c r="AX20" s="5" t="s">
        <v>1087</v>
      </c>
      <c r="AY20" s="5">
        <v>16</v>
      </c>
      <c r="AZ20" s="5" t="s">
        <v>8</v>
      </c>
      <c r="BA20" s="5" t="s">
        <v>1088</v>
      </c>
      <c r="BB20" s="5">
        <v>16.600000000000001</v>
      </c>
      <c r="BC20" s="5" t="s">
        <v>8</v>
      </c>
      <c r="BE20" s="5" t="s">
        <v>1089</v>
      </c>
      <c r="BF20" s="5">
        <v>16.3</v>
      </c>
      <c r="BG20" s="5" t="s">
        <v>8</v>
      </c>
      <c r="BI20" s="5" t="s">
        <v>7</v>
      </c>
      <c r="BJ20" s="5">
        <f>AM19/12</f>
        <v>1.0791666666666668</v>
      </c>
      <c r="BK20" s="5" t="s">
        <v>23</v>
      </c>
      <c r="BM20" s="5" t="s">
        <v>89</v>
      </c>
      <c r="BN20" s="5">
        <v>0.03</v>
      </c>
      <c r="BO20" s="5" t="s">
        <v>23</v>
      </c>
      <c r="BQ20" s="9" t="s">
        <v>621</v>
      </c>
      <c r="BR20" s="5">
        <f>(3+4)/2</f>
        <v>3.5</v>
      </c>
      <c r="BS20" s="5" t="s">
        <v>622</v>
      </c>
      <c r="BU20" s="5" t="s">
        <v>93</v>
      </c>
      <c r="BV20" s="5">
        <v>2</v>
      </c>
      <c r="BW20" s="5" t="s">
        <v>8</v>
      </c>
      <c r="BY20" t="s">
        <v>1090</v>
      </c>
      <c r="BZ20">
        <v>2.7</v>
      </c>
      <c r="CA20" s="5" t="s">
        <v>8</v>
      </c>
    </row>
    <row r="21" spans="1:79" x14ac:dyDescent="0.25">
      <c r="A21" s="5" t="s">
        <v>420</v>
      </c>
      <c r="B21" s="5">
        <f>B19*$C$10*10^-2</f>
        <v>13</v>
      </c>
      <c r="C21" s="5" t="s">
        <v>23</v>
      </c>
      <c r="D21" s="5" t="s">
        <v>420</v>
      </c>
      <c r="E21" s="5">
        <f>E19*$C$10*10^-2</f>
        <v>13</v>
      </c>
      <c r="F21" s="5" t="s">
        <v>23</v>
      </c>
      <c r="G21" s="5" t="s">
        <v>890</v>
      </c>
      <c r="H21" s="5">
        <f>H20/$F$9</f>
        <v>4414.5548844537807</v>
      </c>
      <c r="I21" s="5"/>
      <c r="K21" s="5" t="s">
        <v>609</v>
      </c>
      <c r="L21" s="5">
        <v>4</v>
      </c>
      <c r="M21" s="5"/>
      <c r="O21" s="5" t="s">
        <v>1091</v>
      </c>
      <c r="P21" s="5">
        <v>18.3</v>
      </c>
      <c r="Q21" s="5" t="s">
        <v>8</v>
      </c>
      <c r="S21" s="5" t="s">
        <v>1092</v>
      </c>
      <c r="T21" s="5">
        <f>T20*2</f>
        <v>137.46164237706461</v>
      </c>
      <c r="U21" s="5" t="s">
        <v>33</v>
      </c>
      <c r="W21" s="9" t="s">
        <v>1093</v>
      </c>
      <c r="X21" s="9">
        <v>21</v>
      </c>
      <c r="Y21" s="9" t="s">
        <v>407</v>
      </c>
      <c r="AB21" s="9" t="s">
        <v>1094</v>
      </c>
      <c r="AC21" s="5">
        <v>7.1</v>
      </c>
      <c r="AD21" s="5" t="s">
        <v>8</v>
      </c>
      <c r="AE21" s="2" t="s">
        <v>1095</v>
      </c>
      <c r="AF21" s="5">
        <f>AC49</f>
        <v>38.75</v>
      </c>
      <c r="AG21" s="5" t="s">
        <v>23</v>
      </c>
      <c r="AH21" s="5" t="s">
        <v>13</v>
      </c>
      <c r="AI21" s="5">
        <f>AI19*$C$10*10^-2</f>
        <v>1.85</v>
      </c>
      <c r="AJ21" s="5" t="s">
        <v>23</v>
      </c>
      <c r="AL21" s="5" t="s">
        <v>1096</v>
      </c>
      <c r="AM21" s="5">
        <f>3</f>
        <v>3</v>
      </c>
      <c r="AN21" s="5" t="s">
        <v>98</v>
      </c>
      <c r="AP21" s="5" t="s">
        <v>124</v>
      </c>
      <c r="AQ21" s="5">
        <v>1</v>
      </c>
      <c r="AR21" s="5" t="s">
        <v>8</v>
      </c>
      <c r="AT21" s="9" t="s">
        <v>1097</v>
      </c>
      <c r="AU21" s="9">
        <v>3.0310000000000001</v>
      </c>
      <c r="AV21" s="9" t="s">
        <v>23</v>
      </c>
      <c r="AX21" s="5" t="s">
        <v>1098</v>
      </c>
      <c r="AY21" s="5">
        <v>4.5999999999999996</v>
      </c>
      <c r="AZ21" s="5" t="s">
        <v>8</v>
      </c>
      <c r="BA21" s="5" t="s">
        <v>1099</v>
      </c>
      <c r="BB21" s="5">
        <v>1.6</v>
      </c>
      <c r="BC21" s="5" t="s">
        <v>8</v>
      </c>
      <c r="BE21" s="5" t="s">
        <v>1100</v>
      </c>
      <c r="BF21" s="5">
        <v>7.2</v>
      </c>
      <c r="BG21" s="5" t="s">
        <v>8</v>
      </c>
      <c r="BI21" s="5" t="s">
        <v>54</v>
      </c>
      <c r="BJ21" s="5">
        <f>AY36</f>
        <v>8</v>
      </c>
      <c r="BK21" s="5" t="s">
        <v>23</v>
      </c>
      <c r="BM21" s="5" t="s">
        <v>7</v>
      </c>
      <c r="BN21" s="5">
        <f>B12-(4*(F4*10^-2))</f>
        <v>8.718</v>
      </c>
      <c r="BO21" s="5" t="s">
        <v>23</v>
      </c>
      <c r="BQ21" s="7"/>
      <c r="BR21" s="5">
        <f>BR20*2.62*10^-2</f>
        <v>9.1700000000000004E-2</v>
      </c>
      <c r="BS21" s="5" t="s">
        <v>23</v>
      </c>
      <c r="BU21" s="5" t="s">
        <v>354</v>
      </c>
      <c r="BV21" s="5">
        <f>BV20*$C$10*10^-2</f>
        <v>1</v>
      </c>
      <c r="BW21" s="5" t="s">
        <v>23</v>
      </c>
      <c r="BY21" t="s">
        <v>1101</v>
      </c>
      <c r="BZ21">
        <f>BZ20*$C$10*10^-2</f>
        <v>1.35</v>
      </c>
      <c r="CA21" s="5" t="s">
        <v>23</v>
      </c>
    </row>
    <row r="22" spans="1:79" x14ac:dyDescent="0.25">
      <c r="A22" s="5" t="s">
        <v>13</v>
      </c>
      <c r="B22" s="5">
        <f>B20*$C$10*10^-2</f>
        <v>7.55</v>
      </c>
      <c r="C22" s="5" t="s">
        <v>23</v>
      </c>
      <c r="D22" s="5" t="s">
        <v>13</v>
      </c>
      <c r="E22" s="5">
        <f>E20*$C$10*10^-2</f>
        <v>7.4</v>
      </c>
      <c r="F22" s="5" t="s">
        <v>23</v>
      </c>
      <c r="G22" s="14" t="s">
        <v>513</v>
      </c>
      <c r="H22" s="5">
        <f>H21*$F$11</f>
        <v>11036.387211134452</v>
      </c>
      <c r="I22" s="5" t="s">
        <v>119</v>
      </c>
      <c r="K22" s="5" t="s">
        <v>481</v>
      </c>
      <c r="L22" s="5">
        <f>L18-(B69*L19)-(L20*B34)-(L21*B52)</f>
        <v>66.68312499999999</v>
      </c>
      <c r="M22" s="5" t="s">
        <v>33</v>
      </c>
      <c r="O22" s="5" t="s">
        <v>640</v>
      </c>
      <c r="P22" s="5">
        <f>(P21*50)*10^-2</f>
        <v>9.15</v>
      </c>
      <c r="Q22" s="5" t="s">
        <v>23</v>
      </c>
      <c r="S22" s="5"/>
      <c r="T22" s="5"/>
      <c r="U22" s="5"/>
      <c r="W22" s="5" t="s">
        <v>1102</v>
      </c>
      <c r="X22" s="5">
        <f>8</f>
        <v>8</v>
      </c>
      <c r="Y22" s="5" t="s">
        <v>407</v>
      </c>
      <c r="AB22" s="36"/>
      <c r="AC22" s="5">
        <v>7.5</v>
      </c>
      <c r="AD22" s="5" t="s">
        <v>8</v>
      </c>
      <c r="AE22" s="2" t="s">
        <v>1103</v>
      </c>
      <c r="AF22" s="5">
        <f>AF21*AF20</f>
        <v>104.625</v>
      </c>
      <c r="AG22" s="5" t="s">
        <v>33</v>
      </c>
      <c r="AH22" s="5" t="s">
        <v>7</v>
      </c>
      <c r="AI22" s="5">
        <f>AI20*$C$10*10^-2</f>
        <v>0.85</v>
      </c>
      <c r="AJ22" s="5" t="s">
        <v>23</v>
      </c>
      <c r="AL22" s="5" t="s">
        <v>1104</v>
      </c>
      <c r="AM22" s="5">
        <f>(AM21*50)*10^-2</f>
        <v>1.5</v>
      </c>
      <c r="AN22" s="5" t="s">
        <v>23</v>
      </c>
      <c r="AP22" s="5" t="s">
        <v>645</v>
      </c>
      <c r="AQ22" s="5">
        <f>(AQ21*50)*10^-2</f>
        <v>0.5</v>
      </c>
      <c r="AR22" s="5" t="s">
        <v>23</v>
      </c>
      <c r="AT22" s="5" t="s">
        <v>1105</v>
      </c>
      <c r="AU22" s="5"/>
      <c r="AV22" s="5"/>
      <c r="AX22" s="5" t="s">
        <v>1106</v>
      </c>
      <c r="AY22" s="5">
        <v>7.1</v>
      </c>
      <c r="AZ22" s="5" t="s">
        <v>8</v>
      </c>
      <c r="BA22" s="5" t="s">
        <v>1107</v>
      </c>
      <c r="BB22" s="5">
        <v>7.1</v>
      </c>
      <c r="BC22" s="5" t="s">
        <v>8</v>
      </c>
      <c r="BE22" s="5" t="s">
        <v>1108</v>
      </c>
      <c r="BF22" s="5">
        <v>7.2</v>
      </c>
      <c r="BG22" s="5" t="s">
        <v>8</v>
      </c>
      <c r="BI22" s="5" t="s">
        <v>136</v>
      </c>
      <c r="BJ22" s="5">
        <f>BJ20*BJ21</f>
        <v>8.6333333333333346</v>
      </c>
      <c r="BK22" s="5" t="s">
        <v>33</v>
      </c>
      <c r="BM22" s="5" t="s">
        <v>54</v>
      </c>
      <c r="BN22" s="5">
        <f>B11-(4*(F4*10^-2))</f>
        <v>12.518000000000001</v>
      </c>
      <c r="BO22" s="5" t="s">
        <v>23</v>
      </c>
      <c r="BQ22" s="9" t="s">
        <v>165</v>
      </c>
      <c r="BR22" s="5">
        <f>1/4</f>
        <v>0.25</v>
      </c>
      <c r="BS22" s="5" t="s">
        <v>622</v>
      </c>
      <c r="BU22" s="5" t="s">
        <v>117</v>
      </c>
      <c r="BV22" s="5">
        <v>4.5</v>
      </c>
      <c r="BW22" s="5" t="s">
        <v>8</v>
      </c>
      <c r="BY22" t="s">
        <v>1109</v>
      </c>
      <c r="BZ22">
        <v>4</v>
      </c>
      <c r="CA22" s="5" t="s">
        <v>8</v>
      </c>
    </row>
    <row r="23" spans="1:79" x14ac:dyDescent="0.25">
      <c r="A23" s="5" t="s">
        <v>136</v>
      </c>
      <c r="B23" s="5">
        <f>B21*B22</f>
        <v>98.149999999999991</v>
      </c>
      <c r="C23" s="5" t="s">
        <v>33</v>
      </c>
      <c r="D23" s="5" t="s">
        <v>136</v>
      </c>
      <c r="E23" s="5">
        <f>E21*E22</f>
        <v>96.2</v>
      </c>
      <c r="F23" s="5" t="s">
        <v>33</v>
      </c>
      <c r="G23" s="5" t="s">
        <v>128</v>
      </c>
      <c r="H23" s="5">
        <f>H21*($F$9-$F$8)</f>
        <v>12.890500262605036</v>
      </c>
      <c r="I23" s="5" t="s">
        <v>33</v>
      </c>
      <c r="K23" s="5" t="s">
        <v>890</v>
      </c>
      <c r="L23" s="5">
        <f>L22/$F$9</f>
        <v>4377.8312106092426</v>
      </c>
      <c r="M23" s="5"/>
      <c r="O23" s="5" t="s">
        <v>1110</v>
      </c>
      <c r="P23" s="5">
        <f>P22/2</f>
        <v>4.5750000000000002</v>
      </c>
      <c r="Q23" s="5" t="s">
        <v>23</v>
      </c>
      <c r="S23" s="5" t="s">
        <v>1111</v>
      </c>
      <c r="T23" s="5">
        <f>(P70*P68)+(0.5*(P75*P73)*2)</f>
        <v>4.6437499999999998</v>
      </c>
      <c r="U23" s="5" t="s">
        <v>33</v>
      </c>
      <c r="W23" s="9" t="s">
        <v>1112</v>
      </c>
      <c r="X23" s="9">
        <f>B11</f>
        <v>12.950000000000001</v>
      </c>
      <c r="Y23" s="9" t="s">
        <v>23</v>
      </c>
      <c r="AB23" s="36"/>
      <c r="AC23" s="5">
        <v>7.5</v>
      </c>
      <c r="AD23" s="5" t="s">
        <v>8</v>
      </c>
      <c r="AE23" s="48" t="s">
        <v>81</v>
      </c>
      <c r="AH23" s="5" t="s">
        <v>1071</v>
      </c>
      <c r="AI23" s="5">
        <v>8</v>
      </c>
      <c r="AJ23" s="5"/>
      <c r="AL23" s="5" t="s">
        <v>1113</v>
      </c>
      <c r="AM23" s="5">
        <f>AM22*AM20*AM19</f>
        <v>4.3900500000000005</v>
      </c>
      <c r="AN23" s="5" t="s">
        <v>21</v>
      </c>
      <c r="AP23" s="5" t="s">
        <v>99</v>
      </c>
      <c r="AQ23" s="5">
        <f>B13</f>
        <v>7.55</v>
      </c>
      <c r="AR23" s="5" t="s">
        <v>23</v>
      </c>
      <c r="AT23" s="5" t="s">
        <v>187</v>
      </c>
      <c r="AU23" s="5">
        <v>4.3</v>
      </c>
      <c r="AV23" s="5" t="s">
        <v>8</v>
      </c>
      <c r="AX23" s="5" t="s">
        <v>1114</v>
      </c>
      <c r="AY23" s="5">
        <v>1.5</v>
      </c>
      <c r="AZ23" s="5" t="s">
        <v>8</v>
      </c>
      <c r="BA23" s="5" t="s">
        <v>1115</v>
      </c>
      <c r="BB23" s="5">
        <v>8.6</v>
      </c>
      <c r="BC23" s="5" t="s">
        <v>8</v>
      </c>
      <c r="BE23" s="5" t="s">
        <v>1116</v>
      </c>
      <c r="BF23" s="5">
        <v>1.7</v>
      </c>
      <c r="BG23" s="5" t="s">
        <v>8</v>
      </c>
      <c r="BI23" s="5" t="s">
        <v>205</v>
      </c>
      <c r="BJ23" s="5">
        <f>BJ22*BJ19</f>
        <v>0.21583333333333338</v>
      </c>
      <c r="BK23" s="5" t="s">
        <v>21</v>
      </c>
      <c r="BM23" s="5" t="s">
        <v>125</v>
      </c>
      <c r="BN23" s="5">
        <f>BN22*BN21</f>
        <v>109.13192400000001</v>
      </c>
      <c r="BO23" s="5" t="s">
        <v>33</v>
      </c>
      <c r="BQ23" s="36"/>
      <c r="BR23" s="9">
        <f>BR22*2.62*10^-2</f>
        <v>6.5500000000000003E-3</v>
      </c>
      <c r="BS23" s="9" t="s">
        <v>23</v>
      </c>
      <c r="BU23" s="5" t="s">
        <v>369</v>
      </c>
      <c r="BV23" s="5">
        <f>BV22*$C$10*10^-2</f>
        <v>2.25</v>
      </c>
      <c r="BW23" s="5" t="s">
        <v>23</v>
      </c>
      <c r="BY23" t="s">
        <v>1101</v>
      </c>
      <c r="BZ23">
        <f t="shared" ref="BZ23:BZ57" si="0">BZ22*$C$10*10^-2</f>
        <v>2</v>
      </c>
      <c r="CA23" s="5" t="s">
        <v>23</v>
      </c>
    </row>
    <row r="24" spans="1:79" x14ac:dyDescent="0.25">
      <c r="A24" s="48" t="s">
        <v>650</v>
      </c>
      <c r="D24" s="48" t="s">
        <v>1117</v>
      </c>
      <c r="G24" s="5" t="s">
        <v>138</v>
      </c>
      <c r="H24" s="5">
        <f>H23*(($F$4)*10^-2)</f>
        <v>1.392174028361344</v>
      </c>
      <c r="I24" s="5" t="s">
        <v>21</v>
      </c>
      <c r="K24" s="14" t="s">
        <v>513</v>
      </c>
      <c r="L24" s="5">
        <f>L23*$F$11</f>
        <v>10944.578026523106</v>
      </c>
      <c r="M24" s="5" t="s">
        <v>119</v>
      </c>
      <c r="O24" s="5" t="s">
        <v>1118</v>
      </c>
      <c r="P24" s="5">
        <v>6.1</v>
      </c>
      <c r="Q24" s="5" t="s">
        <v>8</v>
      </c>
      <c r="S24" s="5" t="s">
        <v>1119</v>
      </c>
      <c r="T24" s="5">
        <v>4</v>
      </c>
      <c r="U24" s="5"/>
      <c r="W24" s="5" t="s">
        <v>1120</v>
      </c>
      <c r="X24" s="5">
        <f>X23*X19*X20</f>
        <v>3.5923299999999998E-2</v>
      </c>
      <c r="Y24" s="5" t="s">
        <v>21</v>
      </c>
      <c r="AB24" s="36"/>
      <c r="AC24" s="5">
        <v>7.5</v>
      </c>
      <c r="AD24" s="5" t="s">
        <v>8</v>
      </c>
      <c r="AE24" s="2" t="s">
        <v>1121</v>
      </c>
      <c r="AF24" s="5">
        <f>AF22-AC64</f>
        <v>87.482500000000002</v>
      </c>
      <c r="AG24" s="5" t="s">
        <v>33</v>
      </c>
      <c r="AH24" s="5" t="s">
        <v>61</v>
      </c>
      <c r="AI24" s="5">
        <f>AI21*AI22</f>
        <v>1.5725</v>
      </c>
      <c r="AJ24" s="5" t="s">
        <v>33</v>
      </c>
      <c r="AL24" s="5" t="s">
        <v>1122</v>
      </c>
      <c r="AM24" s="5">
        <f>AM23*2</f>
        <v>8.7801000000000009</v>
      </c>
      <c r="AN24" s="5" t="s">
        <v>21</v>
      </c>
      <c r="AP24" s="9" t="s">
        <v>1123</v>
      </c>
      <c r="AQ24" s="9">
        <v>0.4</v>
      </c>
      <c r="AR24" s="9" t="s">
        <v>23</v>
      </c>
      <c r="AT24" s="5" t="s">
        <v>265</v>
      </c>
      <c r="AU24" s="5">
        <v>3.4</v>
      </c>
      <c r="AV24" s="5" t="s">
        <v>8</v>
      </c>
      <c r="AX24" s="5" t="s">
        <v>1124</v>
      </c>
      <c r="AY24" s="5">
        <v>6.9</v>
      </c>
      <c r="AZ24" s="5" t="s">
        <v>8</v>
      </c>
      <c r="BA24" s="5" t="s">
        <v>1125</v>
      </c>
      <c r="BB24" s="5">
        <v>3.7</v>
      </c>
      <c r="BC24" s="5" t="s">
        <v>8</v>
      </c>
      <c r="BE24" s="5" t="s">
        <v>1126</v>
      </c>
      <c r="BF24" s="5">
        <v>7.1</v>
      </c>
      <c r="BG24" s="5" t="s">
        <v>8</v>
      </c>
      <c r="BI24" s="5" t="s">
        <v>658</v>
      </c>
      <c r="BJ24" s="5">
        <v>10</v>
      </c>
      <c r="BK24" s="5"/>
      <c r="BM24" s="5" t="s">
        <v>133</v>
      </c>
      <c r="BN24" s="5">
        <v>3</v>
      </c>
      <c r="BO24" s="5"/>
      <c r="BQ24" s="6" t="s">
        <v>1127</v>
      </c>
      <c r="BR24" s="4"/>
      <c r="BS24" s="2"/>
      <c r="BU24" s="5" t="s">
        <v>149</v>
      </c>
      <c r="BV24" s="5">
        <v>2.5</v>
      </c>
      <c r="BW24" s="5" t="s">
        <v>8</v>
      </c>
      <c r="BY24" t="s">
        <v>1128</v>
      </c>
      <c r="BZ24">
        <v>4.3</v>
      </c>
      <c r="CA24" s="5" t="s">
        <v>8</v>
      </c>
    </row>
    <row r="25" spans="1:79" x14ac:dyDescent="0.25">
      <c r="A25" t="s">
        <v>1129</v>
      </c>
      <c r="D25" t="s">
        <v>1129</v>
      </c>
      <c r="G25" s="20" t="s">
        <v>150</v>
      </c>
      <c r="H25" s="9">
        <f>H24*$F$12</f>
        <v>2366.6958482142845</v>
      </c>
      <c r="I25" s="9" t="s">
        <v>119</v>
      </c>
      <c r="K25" s="5" t="s">
        <v>128</v>
      </c>
      <c r="L25" s="5">
        <f>L23*($F$9-$F$8)</f>
        <v>12.783267134978983</v>
      </c>
      <c r="M25" s="5" t="s">
        <v>33</v>
      </c>
      <c r="O25" s="5" t="s">
        <v>674</v>
      </c>
      <c r="P25" s="5">
        <f>(P24*50)*10^-2</f>
        <v>3.0500000000000003</v>
      </c>
      <c r="Q25" s="5" t="s">
        <v>23</v>
      </c>
      <c r="S25" s="5" t="s">
        <v>1130</v>
      </c>
      <c r="T25" s="5">
        <f>T24*T23</f>
        <v>18.574999999999999</v>
      </c>
      <c r="U25" s="5" t="s">
        <v>33</v>
      </c>
      <c r="W25" s="5" t="s">
        <v>1131</v>
      </c>
      <c r="X25" s="5">
        <f>X24*X22</f>
        <v>0.28738639999999999</v>
      </c>
      <c r="Y25" s="5" t="s">
        <v>21</v>
      </c>
      <c r="AB25" s="36"/>
      <c r="AC25" s="5">
        <v>7.1</v>
      </c>
      <c r="AD25" s="5" t="s">
        <v>8</v>
      </c>
      <c r="AE25" s="2" t="s">
        <v>890</v>
      </c>
      <c r="AF25" s="5">
        <f>AF24/$F$9</f>
        <v>5743.3363970588234</v>
      </c>
      <c r="AG25" s="11"/>
      <c r="AH25" s="5" t="s">
        <v>367</v>
      </c>
      <c r="AI25" s="5">
        <f>AI23*AI24</f>
        <v>12.58</v>
      </c>
      <c r="AJ25" s="5" t="s">
        <v>33</v>
      </c>
      <c r="AL25" s="27" t="s">
        <v>1132</v>
      </c>
      <c r="AM25" s="5"/>
      <c r="AN25" s="5"/>
      <c r="AP25" s="5" t="s">
        <v>1133</v>
      </c>
      <c r="AQ25" s="5">
        <f>AQ24+AQ23</f>
        <v>7.95</v>
      </c>
      <c r="AR25" s="5" t="s">
        <v>111</v>
      </c>
      <c r="AT25" s="36" t="s">
        <v>441</v>
      </c>
      <c r="AU25" s="36">
        <v>2.1</v>
      </c>
      <c r="AV25" s="36" t="s">
        <v>98</v>
      </c>
      <c r="AX25" s="5" t="s">
        <v>1134</v>
      </c>
      <c r="AY25" s="5">
        <v>7.6</v>
      </c>
      <c r="AZ25" s="5" t="s">
        <v>8</v>
      </c>
      <c r="BA25" s="5" t="s">
        <v>1134</v>
      </c>
      <c r="BB25" s="5">
        <v>2.2000000000000002</v>
      </c>
      <c r="BC25" s="5" t="s">
        <v>8</v>
      </c>
      <c r="BE25" s="5" t="s">
        <v>1135</v>
      </c>
      <c r="BF25" s="5">
        <v>7.2</v>
      </c>
      <c r="BG25" s="5" t="s">
        <v>8</v>
      </c>
      <c r="BI25" s="36" t="s">
        <v>1136</v>
      </c>
      <c r="BJ25">
        <v>3</v>
      </c>
      <c r="BM25" s="5" t="s">
        <v>145</v>
      </c>
      <c r="BN25" s="5">
        <f>BN23*BN24</f>
        <v>327.39577200000002</v>
      </c>
      <c r="BO25" s="5" t="s">
        <v>33</v>
      </c>
      <c r="BQ25" s="9" t="s">
        <v>669</v>
      </c>
      <c r="BR25" s="5">
        <v>14.7</v>
      </c>
      <c r="BS25" s="5" t="s">
        <v>8</v>
      </c>
      <c r="BU25" s="5" t="s">
        <v>1137</v>
      </c>
      <c r="BV25" s="5">
        <f>BV24*$C$10*10^-2</f>
        <v>1.25</v>
      </c>
      <c r="BW25" s="5" t="s">
        <v>23</v>
      </c>
      <c r="BY25" t="s">
        <v>1101</v>
      </c>
      <c r="BZ25">
        <f t="shared" si="0"/>
        <v>2.15</v>
      </c>
      <c r="CA25" s="5" t="s">
        <v>23</v>
      </c>
    </row>
    <row r="26" spans="1:79" x14ac:dyDescent="0.25">
      <c r="A26" s="5" t="s">
        <v>673</v>
      </c>
      <c r="B26" s="5">
        <v>1</v>
      </c>
      <c r="C26" s="5" t="s">
        <v>8</v>
      </c>
      <c r="D26" s="5" t="s">
        <v>1138</v>
      </c>
      <c r="E26" s="5">
        <v>1.6</v>
      </c>
      <c r="F26" s="11" t="s">
        <v>8</v>
      </c>
      <c r="G26" s="6" t="s">
        <v>770</v>
      </c>
      <c r="H26" s="4"/>
      <c r="I26" s="2"/>
      <c r="K26" s="5" t="s">
        <v>138</v>
      </c>
      <c r="L26" s="5">
        <f>L25*(($F$4)*10^-2)</f>
        <v>1.3805928505777303</v>
      </c>
      <c r="M26" s="5" t="s">
        <v>21</v>
      </c>
      <c r="O26" s="5" t="s">
        <v>1139</v>
      </c>
      <c r="P26" s="5">
        <f>SQRT((P25^2+(P23^2)))</f>
        <v>5.4984656950825839</v>
      </c>
      <c r="Q26" s="5" t="s">
        <v>23</v>
      </c>
      <c r="S26" s="5" t="s">
        <v>1140</v>
      </c>
      <c r="T26" s="5">
        <f>T21-T25</f>
        <v>118.8866423770646</v>
      </c>
      <c r="U26" s="5" t="s">
        <v>33</v>
      </c>
      <c r="W26" s="5" t="s">
        <v>1141</v>
      </c>
      <c r="X26" s="5">
        <f>8+5</f>
        <v>13</v>
      </c>
      <c r="Y26" s="5" t="s">
        <v>407</v>
      </c>
      <c r="AB26" s="36"/>
      <c r="AC26" s="5">
        <v>8.4</v>
      </c>
      <c r="AD26" s="5" t="s">
        <v>8</v>
      </c>
      <c r="AE26" s="80" t="s">
        <v>513</v>
      </c>
      <c r="AF26" s="5">
        <f>AF25*$F$11</f>
        <v>14358.340992647059</v>
      </c>
      <c r="AG26" s="5" t="s">
        <v>119</v>
      </c>
      <c r="AH26" s="6" t="s">
        <v>81</v>
      </c>
      <c r="AI26" s="4"/>
      <c r="AJ26" s="2"/>
      <c r="AL26" s="5" t="s">
        <v>12</v>
      </c>
      <c r="AM26" s="5">
        <f>B12</f>
        <v>9.15</v>
      </c>
      <c r="AN26" s="5" t="s">
        <v>23</v>
      </c>
      <c r="AP26" s="5" t="s">
        <v>1142</v>
      </c>
      <c r="AQ26" s="5">
        <f>AQ25*AQ22</f>
        <v>3.9750000000000001</v>
      </c>
      <c r="AR26" s="5" t="s">
        <v>33</v>
      </c>
      <c r="AT26" s="5" t="s">
        <v>654</v>
      </c>
      <c r="AU26" s="5">
        <f>(AU23*50)*10^-2</f>
        <v>2.15</v>
      </c>
      <c r="AV26" s="5" t="s">
        <v>23</v>
      </c>
      <c r="AX26" s="5" t="s">
        <v>1143</v>
      </c>
      <c r="AY26" s="5">
        <v>3.6</v>
      </c>
      <c r="AZ26" s="5" t="s">
        <v>8</v>
      </c>
      <c r="BA26" s="5" t="s">
        <v>1144</v>
      </c>
      <c r="BB26" s="5">
        <v>3.4</v>
      </c>
      <c r="BC26" s="5" t="s">
        <v>8</v>
      </c>
      <c r="BE26" s="5" t="s">
        <v>1145</v>
      </c>
      <c r="BF26" s="5">
        <v>1.7</v>
      </c>
      <c r="BG26" s="5" t="s">
        <v>8</v>
      </c>
      <c r="BI26" s="5" t="s">
        <v>1146</v>
      </c>
      <c r="BJ26" s="5">
        <f>BJ22*BJ24*BJ25</f>
        <v>259</v>
      </c>
      <c r="BK26" s="5" t="s">
        <v>33</v>
      </c>
      <c r="BM26" s="14" t="s">
        <v>156</v>
      </c>
      <c r="BN26" s="14">
        <f>BN25*BN20</f>
        <v>9.8218731600000009</v>
      </c>
      <c r="BO26" s="14" t="s">
        <v>21</v>
      </c>
      <c r="BQ26" s="36"/>
      <c r="BR26" s="5">
        <v>1.6</v>
      </c>
      <c r="BS26" s="5" t="s">
        <v>8</v>
      </c>
      <c r="BU26" s="5" t="s">
        <v>169</v>
      </c>
      <c r="BV26" s="5">
        <v>3.5</v>
      </c>
      <c r="BW26" s="5" t="s">
        <v>8</v>
      </c>
      <c r="BY26" t="s">
        <v>1147</v>
      </c>
      <c r="BZ26">
        <v>4.3</v>
      </c>
      <c r="CA26" s="5" t="s">
        <v>8</v>
      </c>
    </row>
    <row r="27" spans="1:79" x14ac:dyDescent="0.25">
      <c r="A27" s="5" t="s">
        <v>1080</v>
      </c>
      <c r="B27" s="5">
        <v>1.3</v>
      </c>
      <c r="C27" s="5" t="s">
        <v>8</v>
      </c>
      <c r="D27" s="5" t="s">
        <v>976</v>
      </c>
      <c r="E27" s="5">
        <v>0.9</v>
      </c>
      <c r="F27" s="5" t="s">
        <v>8</v>
      </c>
      <c r="G27" s="7" t="s">
        <v>54</v>
      </c>
      <c r="H27" s="7">
        <f>P22</f>
        <v>9.15</v>
      </c>
      <c r="I27" s="7" t="s">
        <v>23</v>
      </c>
      <c r="K27" s="14" t="s">
        <v>150</v>
      </c>
      <c r="L27" s="5">
        <f>L26*$F$12</f>
        <v>2347.0078459821416</v>
      </c>
      <c r="M27" s="5" t="s">
        <v>119</v>
      </c>
      <c r="O27" s="5" t="s">
        <v>1148</v>
      </c>
      <c r="P27" s="5">
        <f>P26*P19*P20</f>
        <v>0.10776992762361866</v>
      </c>
      <c r="Q27" s="5" t="s">
        <v>21</v>
      </c>
      <c r="S27" s="5"/>
      <c r="T27" s="5"/>
      <c r="U27" s="5"/>
      <c r="W27" s="5" t="s">
        <v>1149</v>
      </c>
      <c r="X27" s="5">
        <f>B11-(2*P68)</f>
        <v>9.0500000000000007</v>
      </c>
      <c r="Y27" s="5" t="s">
        <v>23</v>
      </c>
      <c r="AB27" s="36"/>
      <c r="AC27" s="5">
        <v>4.7</v>
      </c>
      <c r="AD27" s="5" t="s">
        <v>8</v>
      </c>
      <c r="AE27" s="2" t="s">
        <v>128</v>
      </c>
      <c r="AF27" s="5">
        <f>AF25*($F$9-$F$8)</f>
        <v>16.77054227941176</v>
      </c>
      <c r="AG27" s="5" t="s">
        <v>33</v>
      </c>
      <c r="AH27" s="5" t="s">
        <v>1121</v>
      </c>
      <c r="AI27" s="5">
        <f>AF98-AI25</f>
        <v>41.669999999999995</v>
      </c>
      <c r="AJ27" s="5" t="s">
        <v>33</v>
      </c>
      <c r="AL27" s="5" t="s">
        <v>14</v>
      </c>
      <c r="AM27" s="5">
        <f>AM20</f>
        <v>0.22600000000000001</v>
      </c>
      <c r="AN27" s="5" t="s">
        <v>98</v>
      </c>
      <c r="AP27" s="5" t="s">
        <v>1150</v>
      </c>
      <c r="AQ27" s="5">
        <f>AQ26*4</f>
        <v>15.9</v>
      </c>
      <c r="AR27" s="5" t="s">
        <v>33</v>
      </c>
      <c r="AT27" s="5" t="s">
        <v>1151</v>
      </c>
      <c r="AU27" s="5">
        <f>(AU24*50)*10^-2</f>
        <v>1.7</v>
      </c>
      <c r="AV27" s="5" t="s">
        <v>23</v>
      </c>
      <c r="AX27" s="5" t="s">
        <v>1152</v>
      </c>
      <c r="AY27" s="5">
        <v>2.8</v>
      </c>
      <c r="AZ27" s="5" t="s">
        <v>8</v>
      </c>
      <c r="BA27" s="5" t="s">
        <v>1143</v>
      </c>
      <c r="BB27" s="5">
        <v>5.3</v>
      </c>
      <c r="BC27" s="5" t="s">
        <v>8</v>
      </c>
      <c r="BE27" s="5" t="s">
        <v>1153</v>
      </c>
      <c r="BF27" s="5">
        <v>8.6</v>
      </c>
      <c r="BG27" s="5" t="s">
        <v>8</v>
      </c>
      <c r="BI27" s="5" t="s">
        <v>679</v>
      </c>
      <c r="BJ27" s="5">
        <f>BJ23*BJ24</f>
        <v>2.1583333333333337</v>
      </c>
      <c r="BK27" s="5" t="s">
        <v>21</v>
      </c>
      <c r="BM27" s="6" t="s">
        <v>166</v>
      </c>
      <c r="BN27" s="4"/>
      <c r="BO27" s="2"/>
      <c r="BQ27" s="9" t="s">
        <v>757</v>
      </c>
      <c r="BR27" s="5">
        <f>BR25*$C$10*10^-2</f>
        <v>7.3500000000000005</v>
      </c>
      <c r="BS27" s="5" t="s">
        <v>23</v>
      </c>
      <c r="BU27" s="5" t="s">
        <v>397</v>
      </c>
      <c r="BV27" s="5">
        <f>BV26*$C$10*10^-2</f>
        <v>1.75</v>
      </c>
      <c r="BW27" s="5" t="s">
        <v>23</v>
      </c>
      <c r="BY27" t="s">
        <v>1101</v>
      </c>
      <c r="BZ27">
        <f t="shared" si="0"/>
        <v>2.15</v>
      </c>
      <c r="CA27" s="5" t="s">
        <v>23</v>
      </c>
    </row>
    <row r="28" spans="1:79" x14ac:dyDescent="0.25">
      <c r="A28" s="5" t="s">
        <v>1154</v>
      </c>
      <c r="B28" s="5">
        <v>0.9</v>
      </c>
      <c r="C28" s="5" t="s">
        <v>8</v>
      </c>
      <c r="D28" s="5" t="s">
        <v>1080</v>
      </c>
      <c r="E28" s="5">
        <v>1</v>
      </c>
      <c r="F28" s="5" t="s">
        <v>8</v>
      </c>
      <c r="G28" s="5" t="s">
        <v>13</v>
      </c>
      <c r="H28" s="5">
        <f>(B22+E22)/2</f>
        <v>7.4749999999999996</v>
      </c>
      <c r="I28" s="5" t="s">
        <v>23</v>
      </c>
      <c r="O28" s="5" t="s">
        <v>1155</v>
      </c>
      <c r="P28" s="5">
        <v>11</v>
      </c>
      <c r="Q28" s="5"/>
      <c r="S28" s="5" t="s">
        <v>1156</v>
      </c>
      <c r="T28" s="5"/>
      <c r="U28" s="5"/>
      <c r="W28" s="5" t="s">
        <v>1157</v>
      </c>
      <c r="X28" s="5">
        <f>X27*X19*X20</f>
        <v>2.5104699999999997E-2</v>
      </c>
      <c r="Y28" s="5" t="s">
        <v>21</v>
      </c>
      <c r="AB28" s="36"/>
      <c r="AC28" s="5">
        <v>1.3</v>
      </c>
      <c r="AD28" s="5" t="s">
        <v>8</v>
      </c>
      <c r="AE28" s="2" t="s">
        <v>138</v>
      </c>
      <c r="AF28" s="5">
        <f>AF27*(($F$4)*10^-2)</f>
        <v>1.8112185661764704</v>
      </c>
      <c r="AG28" s="5" t="s">
        <v>21</v>
      </c>
      <c r="AH28" s="5" t="s">
        <v>890</v>
      </c>
      <c r="AI28" s="5">
        <f>AI27/$F$9</f>
        <v>2735.6880252100837</v>
      </c>
      <c r="AJ28" s="5"/>
      <c r="AL28" s="5" t="s">
        <v>1096</v>
      </c>
      <c r="AM28" s="5">
        <f>AM22</f>
        <v>1.5</v>
      </c>
      <c r="AN28" s="5"/>
      <c r="AP28" s="5" t="s">
        <v>1158</v>
      </c>
      <c r="AQ28" s="5">
        <f>AQ27*2</f>
        <v>31.8</v>
      </c>
      <c r="AR28" s="5" t="s">
        <v>33</v>
      </c>
      <c r="AT28" s="36" t="s">
        <v>1159</v>
      </c>
      <c r="AU28">
        <f>(AU25*50)*10^-2</f>
        <v>1.05</v>
      </c>
      <c r="AV28" s="36" t="s">
        <v>23</v>
      </c>
      <c r="AX28" s="5" t="s">
        <v>1160</v>
      </c>
      <c r="AY28" s="5">
        <v>2.2000000000000002</v>
      </c>
      <c r="AZ28" s="5" t="s">
        <v>8</v>
      </c>
      <c r="BA28" s="5" t="s">
        <v>1160</v>
      </c>
      <c r="BB28" s="5">
        <v>2.2999999999999998</v>
      </c>
      <c r="BC28" s="5" t="s">
        <v>8</v>
      </c>
      <c r="BE28" s="5" t="s">
        <v>1161</v>
      </c>
      <c r="BF28" s="5">
        <v>8.1</v>
      </c>
      <c r="BG28" s="5" t="s">
        <v>8</v>
      </c>
      <c r="BI28" s="27" t="s">
        <v>689</v>
      </c>
      <c r="BJ28" s="5"/>
      <c r="BK28" s="5"/>
      <c r="BM28" s="5" t="s">
        <v>89</v>
      </c>
      <c r="BN28" s="5">
        <v>0.02</v>
      </c>
      <c r="BO28" s="5" t="s">
        <v>23</v>
      </c>
      <c r="BQ28" s="36"/>
      <c r="BR28" s="5">
        <f>BR26*$C$10*10^-2</f>
        <v>0.8</v>
      </c>
      <c r="BS28" s="5" t="s">
        <v>23</v>
      </c>
      <c r="BU28" s="5" t="s">
        <v>203</v>
      </c>
      <c r="BV28" s="5">
        <v>3.4</v>
      </c>
      <c r="BW28" s="5" t="s">
        <v>8</v>
      </c>
      <c r="BY28" t="s">
        <v>1162</v>
      </c>
      <c r="BZ28">
        <v>3.8</v>
      </c>
      <c r="CA28" s="5" t="s">
        <v>8</v>
      </c>
    </row>
    <row r="29" spans="1:79" x14ac:dyDescent="0.25">
      <c r="A29" s="5" t="s">
        <v>1163</v>
      </c>
      <c r="B29" s="5">
        <v>0.6</v>
      </c>
      <c r="C29" s="5" t="s">
        <v>8</v>
      </c>
      <c r="D29" s="5" t="s">
        <v>1154</v>
      </c>
      <c r="E29" s="5">
        <v>0.7</v>
      </c>
      <c r="F29" s="5" t="s">
        <v>8</v>
      </c>
      <c r="G29" s="5" t="s">
        <v>136</v>
      </c>
      <c r="H29" s="5">
        <f>H27*H28</f>
        <v>68.396249999999995</v>
      </c>
      <c r="I29" s="5" t="s">
        <v>33</v>
      </c>
      <c r="K29" s="21" t="s">
        <v>372</v>
      </c>
      <c r="L29" s="4"/>
      <c r="M29" s="2"/>
      <c r="O29" s="5" t="s">
        <v>842</v>
      </c>
      <c r="P29" s="5">
        <v>2</v>
      </c>
      <c r="Q29" s="5"/>
      <c r="S29" s="27" t="s">
        <v>1164</v>
      </c>
      <c r="T29" s="5"/>
      <c r="U29" s="5"/>
      <c r="W29" s="5" t="s">
        <v>1165</v>
      </c>
      <c r="X29" s="5">
        <f>X28*X26</f>
        <v>0.32636109999999996</v>
      </c>
      <c r="Y29" s="5" t="s">
        <v>21</v>
      </c>
      <c r="AB29" s="36"/>
      <c r="AC29" s="5">
        <v>3</v>
      </c>
      <c r="AD29" s="5" t="s">
        <v>8</v>
      </c>
      <c r="AE29" s="80" t="s">
        <v>150</v>
      </c>
      <c r="AF29" s="5">
        <f>AF28*$F$12</f>
        <v>3079.0715624999998</v>
      </c>
      <c r="AG29" s="5" t="s">
        <v>119</v>
      </c>
      <c r="AH29" s="14" t="s">
        <v>513</v>
      </c>
      <c r="AI29" s="5">
        <f>AI28*$F$11</f>
        <v>6839.2200630252091</v>
      </c>
      <c r="AJ29" s="5" t="s">
        <v>119</v>
      </c>
      <c r="AL29" s="5" t="s">
        <v>1166</v>
      </c>
      <c r="AM29" s="5">
        <f>AM28*AM26*AM20</f>
        <v>3.1018500000000002</v>
      </c>
      <c r="AN29" s="5" t="s">
        <v>21</v>
      </c>
      <c r="AP29" s="5" t="s">
        <v>706</v>
      </c>
      <c r="AQ29" s="5">
        <f>ROUND(AQ20/((F3+F7)*10^-2),0)</f>
        <v>2</v>
      </c>
      <c r="AR29" s="5" t="s">
        <v>250</v>
      </c>
      <c r="AT29" s="9" t="s">
        <v>1167</v>
      </c>
      <c r="AU29" s="9">
        <f>AU27+AU26</f>
        <v>3.8499999999999996</v>
      </c>
      <c r="AV29" s="9" t="s">
        <v>111</v>
      </c>
      <c r="AX29" s="5" t="s">
        <v>1168</v>
      </c>
      <c r="AY29" s="5">
        <v>3.2</v>
      </c>
      <c r="AZ29" s="5" t="s">
        <v>8</v>
      </c>
      <c r="BA29" s="5" t="s">
        <v>1168</v>
      </c>
      <c r="BB29" s="5">
        <v>3.3</v>
      </c>
      <c r="BC29" s="5" t="s">
        <v>8</v>
      </c>
      <c r="BE29" s="88" t="s">
        <v>1169</v>
      </c>
      <c r="BF29" s="5">
        <v>3.2</v>
      </c>
      <c r="BG29" s="5" t="s">
        <v>8</v>
      </c>
      <c r="BI29" s="5" t="s">
        <v>89</v>
      </c>
      <c r="BJ29" s="5">
        <f>5*10^-2</f>
        <v>0.05</v>
      </c>
      <c r="BK29" s="5" t="s">
        <v>23</v>
      </c>
      <c r="BM29" s="5" t="s">
        <v>184</v>
      </c>
      <c r="BN29" s="5">
        <v>2</v>
      </c>
      <c r="BO29" s="5"/>
      <c r="BQ29" s="5" t="s">
        <v>1170</v>
      </c>
      <c r="BR29" s="5">
        <v>2</v>
      </c>
      <c r="BS29" s="5"/>
      <c r="BU29" s="5" t="s">
        <v>411</v>
      </c>
      <c r="BV29" s="5">
        <f>BV28*$C$10*10^-2</f>
        <v>1.7</v>
      </c>
      <c r="BW29" s="5" t="s">
        <v>23</v>
      </c>
      <c r="BY29" t="s">
        <v>1101</v>
      </c>
      <c r="BZ29">
        <f t="shared" si="0"/>
        <v>1.9000000000000001</v>
      </c>
      <c r="CA29" s="5" t="s">
        <v>23</v>
      </c>
    </row>
    <row r="30" spans="1:79" x14ac:dyDescent="0.25">
      <c r="A30" s="5" t="s">
        <v>420</v>
      </c>
      <c r="B30" s="5">
        <f>B26*$C$10*10^-2</f>
        <v>0.5</v>
      </c>
      <c r="C30" s="5" t="s">
        <v>23</v>
      </c>
      <c r="D30" s="5" t="s">
        <v>1171</v>
      </c>
      <c r="E30" s="5">
        <v>0.5</v>
      </c>
      <c r="F30" s="5" t="s">
        <v>8</v>
      </c>
      <c r="G30" s="5" t="s">
        <v>842</v>
      </c>
      <c r="H30" s="5">
        <f>2</f>
        <v>2</v>
      </c>
      <c r="I30" s="5"/>
      <c r="K30" s="5" t="s">
        <v>481</v>
      </c>
      <c r="L30" s="5">
        <f>H20+B71+H41+H31</f>
        <v>327.72999999999996</v>
      </c>
      <c r="M30" s="5" t="s">
        <v>33</v>
      </c>
      <c r="O30" s="14" t="s">
        <v>1172</v>
      </c>
      <c r="P30" s="14">
        <f>P29*P28*P27</f>
        <v>2.3709384077196103</v>
      </c>
      <c r="Q30" s="14" t="s">
        <v>21</v>
      </c>
      <c r="S30" s="5" t="s">
        <v>1173</v>
      </c>
      <c r="T30" s="5">
        <f>P76</f>
        <v>1.8582585934148133</v>
      </c>
      <c r="U30" s="5" t="s">
        <v>23</v>
      </c>
      <c r="AB30" s="36"/>
      <c r="AC30" s="5">
        <v>5</v>
      </c>
      <c r="AD30" s="5" t="s">
        <v>8</v>
      </c>
      <c r="AE30" s="79" t="s">
        <v>665</v>
      </c>
      <c r="AF30" s="4"/>
      <c r="AG30" s="2"/>
      <c r="AH30" s="5" t="s">
        <v>128</v>
      </c>
      <c r="AI30" s="5">
        <f>AI28*($F$9-$F$8)</f>
        <v>7.9882090336134413</v>
      </c>
      <c r="AJ30" s="5" t="s">
        <v>33</v>
      </c>
      <c r="AL30" s="5" t="s">
        <v>1174</v>
      </c>
      <c r="AM30" s="5">
        <f>AM29*2</f>
        <v>6.2037000000000004</v>
      </c>
      <c r="AN30" s="5" t="s">
        <v>21</v>
      </c>
      <c r="AP30" s="5" t="s">
        <v>714</v>
      </c>
      <c r="AQ30" s="5">
        <f>ROUND(AQ25/((F5+F7)*10^-2),0)</f>
        <v>124</v>
      </c>
      <c r="AR30" s="5" t="s">
        <v>250</v>
      </c>
      <c r="AT30" s="5" t="s">
        <v>1175</v>
      </c>
      <c r="AU30" s="5">
        <v>17</v>
      </c>
      <c r="AV30" s="5"/>
      <c r="AX30" s="5" t="s">
        <v>1176</v>
      </c>
      <c r="AY30" s="5">
        <v>5.3</v>
      </c>
      <c r="AZ30" s="5" t="s">
        <v>8</v>
      </c>
      <c r="BA30" s="78">
        <v>5</v>
      </c>
      <c r="BB30" s="5">
        <v>9</v>
      </c>
      <c r="BC30" s="5" t="s">
        <v>8</v>
      </c>
      <c r="BE30" s="5" t="s">
        <v>1177</v>
      </c>
      <c r="BF30" s="5">
        <v>2.2000000000000002</v>
      </c>
      <c r="BG30" s="5" t="s">
        <v>8</v>
      </c>
      <c r="BI30" s="5" t="s">
        <v>205</v>
      </c>
      <c r="BJ30" s="5">
        <f>BJ26*BJ29</f>
        <v>12.950000000000001</v>
      </c>
      <c r="BK30" s="5" t="s">
        <v>21</v>
      </c>
      <c r="BM30" s="9" t="s">
        <v>1178</v>
      </c>
      <c r="BN30" s="9">
        <f>BN23*BN29*BN28</f>
        <v>4.365276960000001</v>
      </c>
      <c r="BO30" s="9" t="s">
        <v>21</v>
      </c>
      <c r="BQ30" s="5" t="s">
        <v>1179</v>
      </c>
      <c r="BR30" s="5">
        <v>6</v>
      </c>
      <c r="BS30" s="5"/>
      <c r="BU30" s="5" t="s">
        <v>219</v>
      </c>
      <c r="BV30" s="5">
        <v>3.7</v>
      </c>
      <c r="BW30" s="5" t="s">
        <v>8</v>
      </c>
      <c r="BY30" t="s">
        <v>1180</v>
      </c>
      <c r="BZ30">
        <v>2</v>
      </c>
      <c r="CA30" s="5" t="s">
        <v>8</v>
      </c>
    </row>
    <row r="31" spans="1:79" x14ac:dyDescent="0.25">
      <c r="A31" s="5" t="s">
        <v>1181</v>
      </c>
      <c r="B31" s="5">
        <f t="shared" ref="B31:B33" si="1">B27*$C$10*10^-2</f>
        <v>0.65</v>
      </c>
      <c r="C31" s="5" t="s">
        <v>23</v>
      </c>
      <c r="D31" s="5" t="s">
        <v>1182</v>
      </c>
      <c r="E31" s="5">
        <v>0.6</v>
      </c>
      <c r="F31" s="5" t="s">
        <v>8</v>
      </c>
      <c r="G31" s="5" t="s">
        <v>125</v>
      </c>
      <c r="H31" s="5">
        <f>H29*H30</f>
        <v>136.79249999999999</v>
      </c>
      <c r="I31" s="5" t="s">
        <v>33</v>
      </c>
      <c r="K31" s="5" t="s">
        <v>890</v>
      </c>
      <c r="L31" s="5">
        <f>L30/$F$9</f>
        <v>21515.887605042015</v>
      </c>
      <c r="M31" s="5"/>
      <c r="O31" s="5" t="s">
        <v>1183</v>
      </c>
      <c r="P31" s="5">
        <v>7.6</v>
      </c>
      <c r="Q31" s="5" t="s">
        <v>8</v>
      </c>
      <c r="S31" s="5" t="s">
        <v>1184</v>
      </c>
      <c r="T31" s="5">
        <f>P34</f>
        <v>1.9000000000000001</v>
      </c>
      <c r="U31" s="5" t="s">
        <v>23</v>
      </c>
      <c r="W31" s="57" t="s">
        <v>1185</v>
      </c>
      <c r="X31" s="9"/>
      <c r="Y31" s="9"/>
      <c r="AB31" s="36"/>
      <c r="AC31" s="5">
        <v>1.3</v>
      </c>
      <c r="AD31" s="5" t="s">
        <v>8</v>
      </c>
      <c r="AE31" s="2" t="s">
        <v>165</v>
      </c>
      <c r="AF31" s="5">
        <v>15</v>
      </c>
      <c r="AG31" s="5" t="s">
        <v>210</v>
      </c>
      <c r="AH31" s="5" t="s">
        <v>138</v>
      </c>
      <c r="AI31" s="5">
        <f>AI30*(($F$4)*10^-2)</f>
        <v>0.86272657563025179</v>
      </c>
      <c r="AJ31" s="5" t="s">
        <v>21</v>
      </c>
      <c r="AL31" s="14" t="s">
        <v>1186</v>
      </c>
      <c r="AM31" s="14">
        <f>AM30+AM24</f>
        <v>14.983800000000002</v>
      </c>
      <c r="AN31" s="14" t="s">
        <v>21</v>
      </c>
      <c r="AP31" s="5" t="s">
        <v>723</v>
      </c>
      <c r="AQ31" s="5">
        <f>AQ30*AQ29</f>
        <v>248</v>
      </c>
      <c r="AR31" s="5" t="s">
        <v>250</v>
      </c>
      <c r="AT31" s="9" t="s">
        <v>1187</v>
      </c>
      <c r="AU31" s="9">
        <f>AU29/AU30</f>
        <v>0.22647058823529409</v>
      </c>
      <c r="AV31" s="9" t="s">
        <v>8</v>
      </c>
      <c r="AX31" s="5" t="s">
        <v>1188</v>
      </c>
      <c r="AY31" s="5">
        <v>5.2</v>
      </c>
      <c r="AZ31" s="5" t="s">
        <v>8</v>
      </c>
      <c r="BA31" s="5" t="s">
        <v>1189</v>
      </c>
      <c r="BB31" s="5">
        <v>1</v>
      </c>
      <c r="BC31" s="5" t="s">
        <v>8</v>
      </c>
      <c r="BE31" s="5" t="s">
        <v>1190</v>
      </c>
      <c r="BF31" s="5">
        <v>5.5</v>
      </c>
      <c r="BG31" s="5" t="s">
        <v>8</v>
      </c>
      <c r="BI31" s="5" t="s">
        <v>715</v>
      </c>
      <c r="BJ31" s="5">
        <v>1760</v>
      </c>
      <c r="BK31" s="5" t="s">
        <v>35</v>
      </c>
      <c r="BM31" s="5" t="s">
        <v>1191</v>
      </c>
      <c r="BN31" s="5"/>
      <c r="BO31" s="5"/>
      <c r="BQ31" s="6" t="s">
        <v>1066</v>
      </c>
      <c r="BR31" s="4"/>
      <c r="BS31" s="2"/>
      <c r="BU31" s="5" t="s">
        <v>428</v>
      </c>
      <c r="BV31" s="5">
        <f>BV30*$C$10*10^-2</f>
        <v>1.85</v>
      </c>
      <c r="BW31" s="5" t="s">
        <v>23</v>
      </c>
      <c r="BY31" t="s">
        <v>1101</v>
      </c>
      <c r="BZ31">
        <f t="shared" si="0"/>
        <v>1</v>
      </c>
      <c r="CA31" s="5" t="s">
        <v>23</v>
      </c>
    </row>
    <row r="32" spans="1:79" x14ac:dyDescent="0.25">
      <c r="A32" s="5" t="s">
        <v>1192</v>
      </c>
      <c r="B32" s="5">
        <f t="shared" si="1"/>
        <v>0.45</v>
      </c>
      <c r="C32" s="5" t="s">
        <v>23</v>
      </c>
      <c r="D32" s="5" t="s">
        <v>978</v>
      </c>
      <c r="E32" s="5">
        <f>E26*$C$10*10^-2</f>
        <v>0.8</v>
      </c>
      <c r="F32" s="5" t="s">
        <v>23</v>
      </c>
      <c r="G32" s="5" t="s">
        <v>890</v>
      </c>
      <c r="H32" s="5">
        <f>H31/$F$9</f>
        <v>8980.6000525210075</v>
      </c>
      <c r="I32" s="5"/>
      <c r="K32" s="14" t="s">
        <v>513</v>
      </c>
      <c r="L32" s="5">
        <f>L31*$F$11</f>
        <v>53789.719012605041</v>
      </c>
      <c r="M32" s="5" t="s">
        <v>119</v>
      </c>
      <c r="O32" s="5" t="s">
        <v>829</v>
      </c>
      <c r="P32" s="5">
        <f>(P31*50)*10^-2</f>
        <v>3.8000000000000003</v>
      </c>
      <c r="Q32" s="5" t="s">
        <v>23</v>
      </c>
      <c r="S32" s="5" t="s">
        <v>1164</v>
      </c>
      <c r="T32" s="5">
        <f>T31*T30</f>
        <v>3.5306913274881455</v>
      </c>
      <c r="U32" s="5" t="s">
        <v>33</v>
      </c>
      <c r="W32" s="5" t="s">
        <v>1193</v>
      </c>
      <c r="X32" s="5">
        <v>4</v>
      </c>
      <c r="Y32" s="5"/>
      <c r="AB32" s="36"/>
      <c r="AC32" s="5">
        <v>4.7</v>
      </c>
      <c r="AD32" s="5" t="s">
        <v>8</v>
      </c>
      <c r="AE32" t="s">
        <v>685</v>
      </c>
      <c r="AF32">
        <v>2</v>
      </c>
      <c r="AH32" s="14" t="s">
        <v>150</v>
      </c>
      <c r="AI32" s="5">
        <f>AI31*$F$12</f>
        <v>1466.635178571428</v>
      </c>
      <c r="AJ32" s="5" t="s">
        <v>119</v>
      </c>
      <c r="AL32" s="5"/>
      <c r="AM32" s="5"/>
      <c r="AN32" s="5"/>
      <c r="AP32" s="5" t="s">
        <v>732</v>
      </c>
      <c r="AQ32" s="5">
        <v>4</v>
      </c>
      <c r="AR32" s="5"/>
      <c r="AT32" s="5" t="s">
        <v>1194</v>
      </c>
      <c r="AU32" s="5">
        <f>(AU25-(2*0.06))*AU29</f>
        <v>7.6229999999999993</v>
      </c>
      <c r="AV32" s="5" t="s">
        <v>33</v>
      </c>
      <c r="AX32" s="5" t="s">
        <v>1195</v>
      </c>
      <c r="AY32" s="5">
        <v>3.1</v>
      </c>
      <c r="AZ32" s="5" t="s">
        <v>8</v>
      </c>
      <c r="BA32" s="5" t="s">
        <v>1196</v>
      </c>
      <c r="BB32" s="5">
        <v>7.1</v>
      </c>
      <c r="BC32" s="5" t="s">
        <v>8</v>
      </c>
      <c r="BE32" s="5" t="s">
        <v>1197</v>
      </c>
      <c r="BF32" s="5">
        <v>5.5</v>
      </c>
      <c r="BG32" s="5" t="s">
        <v>8</v>
      </c>
      <c r="BI32" s="9" t="s">
        <v>725</v>
      </c>
      <c r="BJ32" s="9">
        <f>BJ31*BJ30</f>
        <v>22792.000000000004</v>
      </c>
      <c r="BK32" s="9" t="s">
        <v>119</v>
      </c>
      <c r="BM32" s="5" t="s">
        <v>1198</v>
      </c>
      <c r="BN32" s="5">
        <f>P39</f>
        <v>3</v>
      </c>
      <c r="BO32" s="5" t="s">
        <v>23</v>
      </c>
      <c r="BQ32" s="5" t="s">
        <v>669</v>
      </c>
      <c r="BR32" s="5">
        <v>14.7</v>
      </c>
      <c r="BS32" s="5" t="s">
        <v>8</v>
      </c>
      <c r="BU32" s="5" t="s">
        <v>240</v>
      </c>
      <c r="BV32" s="5">
        <v>4.0999999999999996</v>
      </c>
      <c r="BW32" s="5" t="s">
        <v>8</v>
      </c>
      <c r="BY32" t="s">
        <v>1199</v>
      </c>
      <c r="BZ32">
        <v>2</v>
      </c>
      <c r="CA32" s="5" t="s">
        <v>8</v>
      </c>
    </row>
    <row r="33" spans="1:79" x14ac:dyDescent="0.25">
      <c r="A33" s="78" t="s">
        <v>1200</v>
      </c>
      <c r="B33" s="5">
        <f t="shared" si="1"/>
        <v>0.3</v>
      </c>
      <c r="C33" s="5" t="s">
        <v>23</v>
      </c>
      <c r="D33" s="5" t="s">
        <v>980</v>
      </c>
      <c r="E33" s="5">
        <f t="shared" ref="E33:E37" si="2">E27*$C$10*10^-2</f>
        <v>0.45</v>
      </c>
      <c r="F33" s="5" t="s">
        <v>23</v>
      </c>
      <c r="G33" s="14" t="s">
        <v>513</v>
      </c>
      <c r="H33" s="5">
        <f>H32*$F$11</f>
        <v>22451.50013130252</v>
      </c>
      <c r="I33" s="5" t="s">
        <v>119</v>
      </c>
      <c r="K33" s="5" t="s">
        <v>128</v>
      </c>
      <c r="L33" s="5">
        <f>L31*($F$9-$F$8)</f>
        <v>62.826391806722661</v>
      </c>
      <c r="M33" s="5" t="s">
        <v>33</v>
      </c>
      <c r="O33" s="5" t="s">
        <v>1201</v>
      </c>
      <c r="P33" s="5">
        <v>3.8</v>
      </c>
      <c r="Q33" s="5" t="s">
        <v>8</v>
      </c>
      <c r="S33" s="27" t="s">
        <v>1202</v>
      </c>
      <c r="T33" s="5"/>
      <c r="U33" s="5"/>
      <c r="W33" s="5" t="s">
        <v>1203</v>
      </c>
      <c r="X33" s="5">
        <f>P26/21</f>
        <v>0.26183169976583731</v>
      </c>
      <c r="Y33" s="5" t="s">
        <v>23</v>
      </c>
      <c r="AB33" s="36"/>
      <c r="AC33" s="5">
        <v>4</v>
      </c>
      <c r="AD33" s="5" t="s">
        <v>8</v>
      </c>
      <c r="AE33" s="2" t="s">
        <v>138</v>
      </c>
      <c r="AF33" s="5">
        <f>(AF31*10^-3)*AF24*AF32</f>
        <v>2.6244749999999999</v>
      </c>
      <c r="AG33" s="5" t="s">
        <v>21</v>
      </c>
      <c r="AH33" s="6" t="s">
        <v>665</v>
      </c>
      <c r="AI33" s="4"/>
      <c r="AJ33" s="2"/>
      <c r="AL33" s="14" t="s">
        <v>1204</v>
      </c>
      <c r="AM33" s="5">
        <f>((F3+F7)*10^-2)*((F4)*10^-2)*((F5+F7)*10^-2)</f>
        <v>1.6450560000000004E-3</v>
      </c>
      <c r="AN33" s="5" t="s">
        <v>21</v>
      </c>
      <c r="AP33" s="5" t="s">
        <v>743</v>
      </c>
      <c r="AQ33" s="5">
        <f>AQ32*AQ31</f>
        <v>992</v>
      </c>
      <c r="AR33" s="5" t="s">
        <v>250</v>
      </c>
      <c r="AT33" s="5" t="s">
        <v>258</v>
      </c>
      <c r="AU33" s="5">
        <v>9.5000000000000001E-2</v>
      </c>
      <c r="AV33" s="5" t="s">
        <v>23</v>
      </c>
      <c r="AX33" s="5" t="s">
        <v>1205</v>
      </c>
      <c r="AY33" s="5">
        <v>7.1</v>
      </c>
      <c r="AZ33" s="5" t="s">
        <v>8</v>
      </c>
      <c r="BA33" s="5" t="s">
        <v>1206</v>
      </c>
      <c r="BB33" s="5">
        <v>5.2</v>
      </c>
      <c r="BC33" s="5" t="s">
        <v>8</v>
      </c>
      <c r="BE33" s="5" t="s">
        <v>1207</v>
      </c>
      <c r="BF33" s="5">
        <v>3.2</v>
      </c>
      <c r="BG33" s="5" t="s">
        <v>8</v>
      </c>
      <c r="BI33" s="11" t="s">
        <v>734</v>
      </c>
      <c r="BJ33" s="4"/>
      <c r="BK33" s="2"/>
      <c r="BM33" s="5" t="s">
        <v>1208</v>
      </c>
      <c r="BN33" s="5">
        <f>B11</f>
        <v>12.950000000000001</v>
      </c>
      <c r="BO33" s="5" t="s">
        <v>23</v>
      </c>
      <c r="BQ33" s="5" t="s">
        <v>832</v>
      </c>
      <c r="BR33" s="5">
        <f>BR32*$C$10*10^-2</f>
        <v>7.3500000000000005</v>
      </c>
      <c r="BS33" s="5" t="s">
        <v>23</v>
      </c>
      <c r="BU33" s="5" t="s">
        <v>1209</v>
      </c>
      <c r="BV33" s="5">
        <f>BV32*$C$10*10^-2</f>
        <v>2.0499999999999998</v>
      </c>
      <c r="BW33" s="5" t="s">
        <v>23</v>
      </c>
      <c r="BY33" t="s">
        <v>1101</v>
      </c>
      <c r="BZ33">
        <f t="shared" si="0"/>
        <v>1</v>
      </c>
      <c r="CA33" s="5" t="s">
        <v>23</v>
      </c>
    </row>
    <row r="34" spans="1:79" x14ac:dyDescent="0.25">
      <c r="A34" s="5" t="s">
        <v>313</v>
      </c>
      <c r="B34" s="5">
        <f>B30*B31</f>
        <v>0.32500000000000001</v>
      </c>
      <c r="C34" s="5" t="s">
        <v>33</v>
      </c>
      <c r="D34" s="5" t="s">
        <v>1181</v>
      </c>
      <c r="E34" s="5">
        <f t="shared" si="2"/>
        <v>0.5</v>
      </c>
      <c r="F34" s="5" t="s">
        <v>23</v>
      </c>
      <c r="G34" s="5" t="s">
        <v>128</v>
      </c>
      <c r="H34" s="5">
        <f>H32*($F$9-$F$8)</f>
        <v>26.223352153361333</v>
      </c>
      <c r="I34" s="5" t="s">
        <v>33</v>
      </c>
      <c r="K34" s="5" t="s">
        <v>138</v>
      </c>
      <c r="L34" s="5">
        <f>L33*(($F$4)*10^-2)</f>
        <v>6.7852503151260484</v>
      </c>
      <c r="M34" s="5" t="s">
        <v>21</v>
      </c>
      <c r="O34" s="9" t="s">
        <v>1210</v>
      </c>
      <c r="P34" s="9">
        <f>(P33*50)*10^-2</f>
        <v>1.9000000000000001</v>
      </c>
      <c r="Q34" s="9" t="s">
        <v>23</v>
      </c>
      <c r="S34" s="5" t="s">
        <v>1211</v>
      </c>
      <c r="T34" s="5">
        <f>P32-P34</f>
        <v>1.9000000000000001</v>
      </c>
      <c r="U34" s="5" t="s">
        <v>23</v>
      </c>
      <c r="W34" s="5" t="s">
        <v>1212</v>
      </c>
      <c r="X34" s="5">
        <f>ROUND(P76/X33,0)</f>
        <v>7</v>
      </c>
      <c r="Y34" s="5" t="s">
        <v>1213</v>
      </c>
      <c r="AB34" s="7"/>
      <c r="AC34" s="5">
        <v>8.4</v>
      </c>
      <c r="AD34" s="5" t="s">
        <v>8</v>
      </c>
      <c r="AE34" s="2" t="s">
        <v>281</v>
      </c>
      <c r="AF34" s="5">
        <f>AF33*$F$12</f>
        <v>4461.6075000000001</v>
      </c>
      <c r="AG34" s="5" t="s">
        <v>119</v>
      </c>
      <c r="AH34" s="5" t="s">
        <v>165</v>
      </c>
      <c r="AI34" s="5">
        <v>15</v>
      </c>
      <c r="AJ34" s="5" t="s">
        <v>210</v>
      </c>
      <c r="AL34" s="14" t="s">
        <v>763</v>
      </c>
      <c r="AM34" s="5">
        <f>AM31/AM33</f>
        <v>9108.3829365079364</v>
      </c>
      <c r="AN34" s="5" t="s">
        <v>250</v>
      </c>
      <c r="AP34" s="5" t="s">
        <v>1214</v>
      </c>
      <c r="AQ34" s="5">
        <f>AQ33*AQ18</f>
        <v>1984</v>
      </c>
      <c r="AR34" s="5" t="s">
        <v>250</v>
      </c>
      <c r="AT34" s="5" t="s">
        <v>1215</v>
      </c>
      <c r="AU34" s="5">
        <f>AU33</f>
        <v>9.5000000000000001E-2</v>
      </c>
      <c r="AV34" s="5" t="s">
        <v>23</v>
      </c>
      <c r="AX34" s="5" t="s">
        <v>1189</v>
      </c>
      <c r="AY34" s="5">
        <v>1.7</v>
      </c>
      <c r="AZ34" s="5" t="s">
        <v>8</v>
      </c>
      <c r="BA34" s="89" t="s">
        <v>1216</v>
      </c>
      <c r="BB34" s="5">
        <v>3.9</v>
      </c>
      <c r="BC34" s="5" t="s">
        <v>8</v>
      </c>
      <c r="BE34" s="5" t="s">
        <v>1217</v>
      </c>
      <c r="BF34" s="5">
        <v>2.4</v>
      </c>
      <c r="BG34" s="5" t="s">
        <v>8</v>
      </c>
      <c r="BI34" s="7" t="s">
        <v>745</v>
      </c>
      <c r="BJ34" s="7">
        <v>3</v>
      </c>
      <c r="BK34" s="7"/>
      <c r="BM34" s="5" t="s">
        <v>1218</v>
      </c>
      <c r="BN34" s="5">
        <f>BN33*BN32</f>
        <v>38.85</v>
      </c>
      <c r="BO34" s="5" t="s">
        <v>33</v>
      </c>
      <c r="BQ34" s="43" t="s">
        <v>757</v>
      </c>
      <c r="BR34">
        <v>2</v>
      </c>
      <c r="BU34" s="5" t="s">
        <v>197</v>
      </c>
      <c r="BV34" s="5">
        <v>4.5</v>
      </c>
      <c r="BW34" s="5" t="s">
        <v>8</v>
      </c>
      <c r="BY34" t="s">
        <v>1219</v>
      </c>
      <c r="BZ34">
        <v>1.8</v>
      </c>
      <c r="CA34" s="5" t="s">
        <v>8</v>
      </c>
    </row>
    <row r="35" spans="1:79" x14ac:dyDescent="0.25">
      <c r="A35" s="5" t="s">
        <v>626</v>
      </c>
      <c r="B35" s="5">
        <f>B32*B33</f>
        <v>0.13500000000000001</v>
      </c>
      <c r="C35" s="5" t="s">
        <v>33</v>
      </c>
      <c r="D35" s="5" t="s">
        <v>1192</v>
      </c>
      <c r="E35" s="5">
        <f>E29*$C$10*10^-2</f>
        <v>0.35000000000000003</v>
      </c>
      <c r="F35" s="5" t="s">
        <v>23</v>
      </c>
      <c r="G35" s="5" t="s">
        <v>138</v>
      </c>
      <c r="H35" s="5">
        <f>H34*(($F$4)*10^-2)</f>
        <v>2.8321220325630243</v>
      </c>
      <c r="I35" s="5" t="s">
        <v>21</v>
      </c>
      <c r="K35" s="14" t="s">
        <v>150</v>
      </c>
      <c r="L35" s="5">
        <f>L34*$F$12</f>
        <v>11534.925535714283</v>
      </c>
      <c r="M35" s="5" t="s">
        <v>119</v>
      </c>
      <c r="O35" s="5" t="s">
        <v>1220</v>
      </c>
      <c r="P35" s="5">
        <f>P34*P19*P20</f>
        <v>3.7240000000000016E-2</v>
      </c>
      <c r="Q35" s="5" t="s">
        <v>21</v>
      </c>
      <c r="S35" s="5" t="s">
        <v>1202</v>
      </c>
      <c r="T35" s="5">
        <f>0.5*(T34*T30)</f>
        <v>1.7653456637440728</v>
      </c>
      <c r="U35" s="5" t="s">
        <v>33</v>
      </c>
      <c r="W35" s="5" t="s">
        <v>1221</v>
      </c>
      <c r="X35" s="5">
        <v>3</v>
      </c>
      <c r="Y35" s="5" t="s">
        <v>1213</v>
      </c>
      <c r="AB35" s="9" t="s">
        <v>1222</v>
      </c>
      <c r="AC35" s="5">
        <f>AC21*$C$10*10^-2</f>
        <v>3.5500000000000003</v>
      </c>
      <c r="AD35" s="5" t="s">
        <v>23</v>
      </c>
      <c r="AE35" s="48" t="s">
        <v>1223</v>
      </c>
      <c r="AH35" s="5" t="s">
        <v>685</v>
      </c>
      <c r="AI35" s="5">
        <v>2</v>
      </c>
      <c r="AJ35" s="5"/>
      <c r="AL35" s="20" t="s">
        <v>118</v>
      </c>
      <c r="AM35" s="20">
        <f>AM34*F11</f>
        <v>22770.957341269841</v>
      </c>
      <c r="AN35" s="20" t="s">
        <v>119</v>
      </c>
      <c r="AP35" s="14" t="s">
        <v>513</v>
      </c>
      <c r="AQ35" s="14">
        <f>AQ34*F11</f>
        <v>4960</v>
      </c>
      <c r="AR35" s="14" t="s">
        <v>119</v>
      </c>
      <c r="AT35" s="14" t="s">
        <v>1224</v>
      </c>
      <c r="AU35" s="14">
        <f>AU32*AU34</f>
        <v>0.72418499999999997</v>
      </c>
      <c r="AV35" s="14" t="s">
        <v>21</v>
      </c>
      <c r="AX35" t="s">
        <v>1101</v>
      </c>
      <c r="BA35" s="90" t="s">
        <v>1225</v>
      </c>
      <c r="BB35" s="5">
        <v>3.9</v>
      </c>
      <c r="BC35" s="5" t="s">
        <v>8</v>
      </c>
      <c r="BE35" s="5" t="s">
        <v>1226</v>
      </c>
      <c r="BF35" s="5">
        <v>3.6</v>
      </c>
      <c r="BG35" s="5" t="s">
        <v>8</v>
      </c>
      <c r="BI35" s="14" t="s">
        <v>726</v>
      </c>
      <c r="BJ35" s="5">
        <f>AY66+AY67+BB79+BF119</f>
        <v>11.841027500000004</v>
      </c>
      <c r="BK35" s="5" t="s">
        <v>21</v>
      </c>
      <c r="BM35" s="5" t="s">
        <v>1227</v>
      </c>
      <c r="BN35" s="5">
        <f>BN34*BN28</f>
        <v>0.77700000000000002</v>
      </c>
      <c r="BO35" s="5" t="s">
        <v>21</v>
      </c>
      <c r="BQ35" s="5" t="s">
        <v>841</v>
      </c>
      <c r="BR35" s="5">
        <f>(BR27*BR29)+(BR28*BR30)+(BR33*BR34)</f>
        <v>34.200000000000003</v>
      </c>
      <c r="BS35" s="5" t="s">
        <v>23</v>
      </c>
      <c r="BU35" s="5" t="s">
        <v>1228</v>
      </c>
      <c r="BV35" s="5">
        <f>BV34*$C$10*10^-2</f>
        <v>2.25</v>
      </c>
      <c r="BW35" s="5" t="s">
        <v>23</v>
      </c>
      <c r="BY35" t="s">
        <v>1101</v>
      </c>
      <c r="BZ35">
        <f>BZ34*$C$10*10^-2</f>
        <v>0.9</v>
      </c>
      <c r="CA35" s="5" t="s">
        <v>23</v>
      </c>
    </row>
    <row r="36" spans="1:79" x14ac:dyDescent="0.25">
      <c r="A36" s="5" t="s">
        <v>178</v>
      </c>
      <c r="B36" s="5">
        <f>B34-B35</f>
        <v>0.19</v>
      </c>
      <c r="C36" s="5" t="s">
        <v>33</v>
      </c>
      <c r="D36" s="78" t="s">
        <v>1229</v>
      </c>
      <c r="E36" s="5">
        <f>E30*$C$10*10^-2</f>
        <v>0.25</v>
      </c>
      <c r="F36" s="5" t="s">
        <v>23</v>
      </c>
      <c r="G36" s="14" t="s">
        <v>150</v>
      </c>
      <c r="H36" s="5">
        <f>H35*$F$12</f>
        <v>4814.6074553571416</v>
      </c>
      <c r="I36" s="5" t="s">
        <v>119</v>
      </c>
      <c r="K36" s="6" t="s">
        <v>665</v>
      </c>
      <c r="L36" s="4"/>
      <c r="M36" s="2"/>
      <c r="O36" s="5" t="s">
        <v>1230</v>
      </c>
      <c r="P36" s="5">
        <v>8</v>
      </c>
      <c r="Q36" s="5"/>
      <c r="S36" s="5" t="s">
        <v>1231</v>
      </c>
      <c r="T36" s="5">
        <f>T35+T32</f>
        <v>5.296036991232218</v>
      </c>
      <c r="U36" s="5" t="s">
        <v>21</v>
      </c>
      <c r="W36" s="5" t="s">
        <v>1232</v>
      </c>
      <c r="X36" s="5">
        <f>P34</f>
        <v>1.9000000000000001</v>
      </c>
      <c r="Y36" s="5" t="s">
        <v>23</v>
      </c>
      <c r="AB36" s="36"/>
      <c r="AC36" s="5">
        <f t="shared" ref="AC36:AC46" si="3">AC22*$C$10*10^-2</f>
        <v>3.75</v>
      </c>
      <c r="AD36" s="5" t="s">
        <v>23</v>
      </c>
      <c r="AE36" s="2" t="s">
        <v>651</v>
      </c>
      <c r="AF36" s="5">
        <v>4.9000000000000004</v>
      </c>
      <c r="AG36" s="5" t="s">
        <v>8</v>
      </c>
      <c r="AH36" s="5" t="s">
        <v>138</v>
      </c>
      <c r="AI36" s="5">
        <f>(AI34*10^-3)*AI27*AI35</f>
        <v>1.2500999999999998</v>
      </c>
      <c r="AJ36" s="5" t="s">
        <v>21</v>
      </c>
      <c r="AL36" s="14" t="s">
        <v>262</v>
      </c>
      <c r="AM36" s="5">
        <f>AM34*(F9-F8)</f>
        <v>26.596478174603163</v>
      </c>
      <c r="AN36" s="5" t="s">
        <v>33</v>
      </c>
      <c r="AP36" s="5" t="s">
        <v>779</v>
      </c>
      <c r="AQ36" s="5">
        <f>AQ34*(F9-F8)</f>
        <v>5.7932799999999975</v>
      </c>
      <c r="AR36" s="5" t="s">
        <v>33</v>
      </c>
      <c r="AT36" s="9" t="s">
        <v>713</v>
      </c>
      <c r="AU36" s="9">
        <v>0.06</v>
      </c>
      <c r="AV36" s="9" t="s">
        <v>111</v>
      </c>
      <c r="AX36" s="90" t="s">
        <v>1087</v>
      </c>
      <c r="AY36" s="5">
        <f t="shared" ref="AY36:AY50" si="4">AY20*$C$10*10^-2</f>
        <v>8</v>
      </c>
      <c r="AZ36" s="5" t="s">
        <v>23</v>
      </c>
      <c r="BA36" s="2" t="s">
        <v>1233</v>
      </c>
      <c r="BB36" s="5">
        <v>7.1</v>
      </c>
      <c r="BC36" s="5" t="s">
        <v>8</v>
      </c>
      <c r="BE36" s="5" t="s">
        <v>1234</v>
      </c>
      <c r="BF36" s="5">
        <v>7.9</v>
      </c>
      <c r="BG36" s="5" t="s">
        <v>98</v>
      </c>
      <c r="BI36" s="14" t="s">
        <v>736</v>
      </c>
      <c r="BJ36" s="5">
        <f>BJ27</f>
        <v>2.1583333333333337</v>
      </c>
      <c r="BK36" s="5" t="s">
        <v>21</v>
      </c>
      <c r="BM36" s="20" t="s">
        <v>1235</v>
      </c>
      <c r="BN36" s="20">
        <f>BN35+BN30</f>
        <v>5.1422769600000011</v>
      </c>
      <c r="BO36" s="20" t="s">
        <v>21</v>
      </c>
      <c r="BQ36" s="5" t="s">
        <v>847</v>
      </c>
      <c r="BR36" s="5">
        <f>PI()*((BR21/2)^2)</f>
        <v>6.604326762211169E-3</v>
      </c>
      <c r="BS36" s="5" t="s">
        <v>33</v>
      </c>
      <c r="BU36" s="5" t="s">
        <v>1236</v>
      </c>
      <c r="BV36" s="5">
        <v>3.8</v>
      </c>
      <c r="BW36" s="5" t="s">
        <v>8</v>
      </c>
      <c r="BY36" t="s">
        <v>1237</v>
      </c>
      <c r="BZ36">
        <v>1.4</v>
      </c>
      <c r="CA36" s="5" t="s">
        <v>8</v>
      </c>
    </row>
    <row r="37" spans="1:79" x14ac:dyDescent="0.25">
      <c r="A37" t="s">
        <v>1238</v>
      </c>
      <c r="D37" s="5" t="s">
        <v>1239</v>
      </c>
      <c r="E37" s="5">
        <f t="shared" si="2"/>
        <v>0.3</v>
      </c>
      <c r="F37" s="5" t="s">
        <v>23</v>
      </c>
      <c r="G37" s="48" t="s">
        <v>1240</v>
      </c>
      <c r="K37" s="5" t="s">
        <v>165</v>
      </c>
      <c r="L37" s="5">
        <v>15</v>
      </c>
      <c r="M37" s="5" t="s">
        <v>210</v>
      </c>
      <c r="O37" s="14" t="s">
        <v>1241</v>
      </c>
      <c r="P37" s="14">
        <f>P36*P35</f>
        <v>0.29792000000000013</v>
      </c>
      <c r="Q37" s="14" t="s">
        <v>21</v>
      </c>
      <c r="S37" s="5" t="s">
        <v>1119</v>
      </c>
      <c r="T37" s="5">
        <v>4</v>
      </c>
      <c r="U37" s="5"/>
      <c r="W37" s="5" t="s">
        <v>1242</v>
      </c>
      <c r="X37" s="5">
        <f>X36*X20*X19</f>
        <v>5.2705999999999994E-3</v>
      </c>
      <c r="Y37" s="5" t="s">
        <v>21</v>
      </c>
      <c r="AB37" s="36"/>
      <c r="AC37" s="5">
        <f t="shared" si="3"/>
        <v>3.75</v>
      </c>
      <c r="AD37" s="5" t="s">
        <v>23</v>
      </c>
      <c r="AE37" s="2" t="s">
        <v>1084</v>
      </c>
      <c r="AF37" s="9">
        <f>AF36*$C$10*10^-2</f>
        <v>2.4500000000000002</v>
      </c>
      <c r="AG37" t="s">
        <v>23</v>
      </c>
      <c r="AH37" s="5" t="s">
        <v>281</v>
      </c>
      <c r="AI37" s="5">
        <f>AI36*$F$12</f>
        <v>2125.1699999999996</v>
      </c>
      <c r="AJ37" s="5" t="s">
        <v>119</v>
      </c>
      <c r="AL37" s="14" t="s">
        <v>395</v>
      </c>
      <c r="AM37" s="5">
        <f>AM36*(F4*10^-2)</f>
        <v>2.872419642857142</v>
      </c>
      <c r="AN37" s="5" t="s">
        <v>21</v>
      </c>
      <c r="AP37" s="5" t="s">
        <v>274</v>
      </c>
      <c r="AQ37" s="5">
        <f>AQ36*(F4*10^-2)</f>
        <v>0.62567423999999983</v>
      </c>
      <c r="AR37" s="5" t="s">
        <v>21</v>
      </c>
      <c r="AT37" s="5" t="s">
        <v>1243</v>
      </c>
      <c r="AU37" s="5">
        <f>AU25-(2*AU36)</f>
        <v>1.98</v>
      </c>
      <c r="AV37" s="5" t="s">
        <v>23</v>
      </c>
      <c r="AX37" s="90" t="s">
        <v>1098</v>
      </c>
      <c r="AY37" s="5">
        <f t="shared" si="4"/>
        <v>2.2999999999999998</v>
      </c>
      <c r="AZ37" s="5" t="s">
        <v>23</v>
      </c>
      <c r="BA37" s="2" t="s">
        <v>1244</v>
      </c>
      <c r="BB37" s="5">
        <v>7.9</v>
      </c>
      <c r="BC37" s="5" t="s">
        <v>8</v>
      </c>
      <c r="BE37" s="5" t="s">
        <v>1245</v>
      </c>
      <c r="BF37" s="5">
        <v>7.9</v>
      </c>
      <c r="BG37" s="5" t="s">
        <v>8</v>
      </c>
      <c r="BI37" s="20" t="s">
        <v>747</v>
      </c>
      <c r="BJ37" s="9">
        <f>BJ32</f>
        <v>22792.000000000004</v>
      </c>
      <c r="BK37" s="9" t="s">
        <v>119</v>
      </c>
      <c r="BM37" s="5" t="s">
        <v>1008</v>
      </c>
      <c r="BN37" s="5"/>
      <c r="BO37" s="5"/>
      <c r="BQ37" s="5" t="s">
        <v>852</v>
      </c>
      <c r="BR37" s="5">
        <f>PI()*(((BR21-(BR23*2))/2)^2)</f>
        <v>4.8521584375429E-3</v>
      </c>
      <c r="BS37" s="5" t="s">
        <v>33</v>
      </c>
      <c r="BU37" s="5" t="s">
        <v>1246</v>
      </c>
      <c r="BV37" s="5">
        <f>BV36*$C$10*10^-2</f>
        <v>1.9000000000000001</v>
      </c>
      <c r="BW37" s="5" t="s">
        <v>23</v>
      </c>
      <c r="BY37" t="s">
        <v>1101</v>
      </c>
      <c r="BZ37">
        <f t="shared" si="0"/>
        <v>0.70000000000000007</v>
      </c>
      <c r="CA37" s="5" t="s">
        <v>23</v>
      </c>
    </row>
    <row r="38" spans="1:79" x14ac:dyDescent="0.25">
      <c r="A38" s="5" t="s">
        <v>1138</v>
      </c>
      <c r="B38" s="5">
        <v>3.5</v>
      </c>
      <c r="C38" s="5" t="s">
        <v>8</v>
      </c>
      <c r="D38" s="5" t="s">
        <v>1247</v>
      </c>
      <c r="E38" s="5">
        <f>E32*E34</f>
        <v>0.4</v>
      </c>
      <c r="F38" s="5" t="s">
        <v>33</v>
      </c>
      <c r="G38" s="5" t="s">
        <v>54</v>
      </c>
      <c r="H38" s="5">
        <f>P22</f>
        <v>9.15</v>
      </c>
      <c r="I38" s="5" t="s">
        <v>23</v>
      </c>
      <c r="K38" s="5" t="s">
        <v>138</v>
      </c>
      <c r="L38" s="5">
        <f>(L37*10^-3)*L30</f>
        <v>4.9159499999999996</v>
      </c>
      <c r="M38" s="5" t="s">
        <v>21</v>
      </c>
      <c r="O38" s="7" t="s">
        <v>1198</v>
      </c>
      <c r="P38" s="7">
        <v>6</v>
      </c>
      <c r="Q38" s="7" t="s">
        <v>8</v>
      </c>
      <c r="S38" s="9" t="s">
        <v>1248</v>
      </c>
      <c r="T38" s="9">
        <f>T36*T37</f>
        <v>21.184147964928872</v>
      </c>
      <c r="U38" s="9" t="s">
        <v>33</v>
      </c>
      <c r="W38" s="5" t="s">
        <v>1249</v>
      </c>
      <c r="X38" s="5">
        <f>X37*X35</f>
        <v>1.5811799999999997E-2</v>
      </c>
      <c r="Y38" s="5" t="s">
        <v>21</v>
      </c>
      <c r="AB38" s="36"/>
      <c r="AC38" s="5">
        <f t="shared" si="3"/>
        <v>3.75</v>
      </c>
      <c r="AD38" s="5" t="s">
        <v>23</v>
      </c>
      <c r="AE38" s="26" t="s">
        <v>1094</v>
      </c>
      <c r="AF38" s="5">
        <v>7.3</v>
      </c>
      <c r="AG38" s="5" t="s">
        <v>8</v>
      </c>
      <c r="AH38" s="40" t="s">
        <v>1250</v>
      </c>
      <c r="AJ38" s="44"/>
      <c r="AL38" s="14" t="s">
        <v>281</v>
      </c>
      <c r="AM38" s="14">
        <f>AM37*F12</f>
        <v>4883.1133928571417</v>
      </c>
      <c r="AN38" s="14" t="s">
        <v>119</v>
      </c>
      <c r="AP38" s="14" t="s">
        <v>491</v>
      </c>
      <c r="AQ38" s="14">
        <f>AQ37*F12</f>
        <v>1063.6462079999997</v>
      </c>
      <c r="AR38" s="14" t="s">
        <v>119</v>
      </c>
      <c r="AT38" s="5" t="s">
        <v>1251</v>
      </c>
      <c r="AU38" s="5">
        <v>0.24</v>
      </c>
      <c r="AV38" s="5" t="s">
        <v>23</v>
      </c>
      <c r="AX38" s="5" t="s">
        <v>1106</v>
      </c>
      <c r="AY38" s="5">
        <f t="shared" si="4"/>
        <v>3.5500000000000003</v>
      </c>
      <c r="AZ38" s="5" t="s">
        <v>23</v>
      </c>
      <c r="BA38" t="s">
        <v>1101</v>
      </c>
      <c r="BE38" s="5" t="s">
        <v>1252</v>
      </c>
      <c r="BF38" s="5">
        <v>8.6</v>
      </c>
      <c r="BG38" s="5" t="s">
        <v>8</v>
      </c>
      <c r="BI38" s="6" t="s">
        <v>155</v>
      </c>
      <c r="BJ38" s="4"/>
      <c r="BK38" s="2"/>
      <c r="BM38" s="5" t="s">
        <v>482</v>
      </c>
      <c r="BN38" s="5">
        <f>AI34</f>
        <v>15</v>
      </c>
      <c r="BO38" s="5" t="s">
        <v>210</v>
      </c>
      <c r="BQ38" s="9" t="s">
        <v>858</v>
      </c>
      <c r="BR38" s="9">
        <f>(BR36-BR37)*BR35</f>
        <v>5.99241567036548E-2</v>
      </c>
      <c r="BS38" s="9" t="s">
        <v>21</v>
      </c>
      <c r="BU38" s="5" t="s">
        <v>1253</v>
      </c>
      <c r="BV38" s="5">
        <v>1.8</v>
      </c>
      <c r="BW38" s="5" t="s">
        <v>8</v>
      </c>
      <c r="BY38" t="s">
        <v>1254</v>
      </c>
      <c r="BZ38">
        <v>1.9</v>
      </c>
      <c r="CA38" s="5" t="s">
        <v>8</v>
      </c>
    </row>
    <row r="39" spans="1:79" x14ac:dyDescent="0.25">
      <c r="A39" s="5" t="s">
        <v>976</v>
      </c>
      <c r="B39" s="5">
        <v>1.2</v>
      </c>
      <c r="C39" s="5" t="s">
        <v>8</v>
      </c>
      <c r="D39" s="5" t="s">
        <v>1255</v>
      </c>
      <c r="E39" s="5">
        <f>E34*E33</f>
        <v>0.22500000000000001</v>
      </c>
      <c r="F39" s="5" t="s">
        <v>33</v>
      </c>
      <c r="G39" s="43" t="s">
        <v>842</v>
      </c>
      <c r="H39">
        <v>2</v>
      </c>
      <c r="K39" s="5" t="s">
        <v>281</v>
      </c>
      <c r="L39" s="5">
        <f>L38*$F$12</f>
        <v>8357.1149999999998</v>
      </c>
      <c r="M39" s="5" t="s">
        <v>119</v>
      </c>
      <c r="O39" s="5" t="s">
        <v>1256</v>
      </c>
      <c r="P39" s="5">
        <f>(P38*50)*10^-2</f>
        <v>3</v>
      </c>
      <c r="Q39" s="5" t="s">
        <v>23</v>
      </c>
      <c r="S39" s="5" t="s">
        <v>1257</v>
      </c>
      <c r="T39" s="5"/>
      <c r="U39" s="5"/>
      <c r="W39" s="5" t="s">
        <v>1258</v>
      </c>
      <c r="X39" s="5">
        <f>4</f>
        <v>4</v>
      </c>
      <c r="Y39" s="5"/>
      <c r="AB39" s="36"/>
      <c r="AC39" s="5">
        <f t="shared" si="3"/>
        <v>3.5500000000000003</v>
      </c>
      <c r="AD39" s="5" t="s">
        <v>23</v>
      </c>
      <c r="AE39" s="44"/>
      <c r="AF39" s="5">
        <v>2.2999999999999998</v>
      </c>
      <c r="AG39" s="5" t="s">
        <v>8</v>
      </c>
      <c r="AH39" s="5" t="s">
        <v>1259</v>
      </c>
      <c r="AI39" s="5">
        <v>0.1</v>
      </c>
      <c r="AJ39" s="5" t="s">
        <v>8</v>
      </c>
      <c r="AT39" s="5" t="s">
        <v>1260</v>
      </c>
      <c r="AU39" s="5">
        <f>AU37*AU33*AU38</f>
        <v>4.5143999999999997E-2</v>
      </c>
      <c r="AV39" s="5" t="s">
        <v>21</v>
      </c>
      <c r="AX39" s="90" t="s">
        <v>1114</v>
      </c>
      <c r="AY39" s="5">
        <f t="shared" si="4"/>
        <v>0.75</v>
      </c>
      <c r="AZ39" s="5" t="s">
        <v>23</v>
      </c>
      <c r="BA39" s="91" t="s">
        <v>1088</v>
      </c>
      <c r="BB39" s="5">
        <f t="shared" ref="BB39:BB56" si="5">BB20*$C$10*10^-2</f>
        <v>8.3000000000000007</v>
      </c>
      <c r="BC39" s="5" t="s">
        <v>23</v>
      </c>
      <c r="BE39" s="5" t="s">
        <v>1261</v>
      </c>
      <c r="BF39" s="5">
        <v>7.1</v>
      </c>
      <c r="BG39" s="5" t="s">
        <v>8</v>
      </c>
      <c r="BI39" s="7" t="s">
        <v>165</v>
      </c>
      <c r="BJ39" s="5">
        <f>0.5*10^-2</f>
        <v>5.0000000000000001E-3</v>
      </c>
      <c r="BK39" s="7" t="s">
        <v>23</v>
      </c>
      <c r="BM39" s="5" t="s">
        <v>1262</v>
      </c>
      <c r="BN39" s="5">
        <f>BN23*2+BN34</f>
        <v>257.11384800000002</v>
      </c>
      <c r="BO39" s="5" t="s">
        <v>33</v>
      </c>
      <c r="BQ39" s="6" t="s">
        <v>565</v>
      </c>
      <c r="BR39" s="4"/>
      <c r="BS39" s="2"/>
      <c r="BU39" s="5" t="s">
        <v>1263</v>
      </c>
      <c r="BV39" s="5">
        <f>BV38*$C$10*10^-2</f>
        <v>0.9</v>
      </c>
      <c r="BW39" s="5" t="s">
        <v>23</v>
      </c>
      <c r="BY39" t="s">
        <v>1101</v>
      </c>
      <c r="BZ39">
        <f t="shared" si="0"/>
        <v>0.95000000000000007</v>
      </c>
      <c r="CA39" s="5" t="s">
        <v>23</v>
      </c>
    </row>
    <row r="40" spans="1:79" x14ac:dyDescent="0.25">
      <c r="A40" s="5" t="s">
        <v>1080</v>
      </c>
      <c r="B40" s="5">
        <v>3.6</v>
      </c>
      <c r="C40" s="5" t="s">
        <v>8</v>
      </c>
      <c r="D40" s="5" t="s">
        <v>1264</v>
      </c>
      <c r="E40" s="5">
        <f>E35*E36*2</f>
        <v>0.17500000000000002</v>
      </c>
      <c r="F40" s="5" t="s">
        <v>33</v>
      </c>
      <c r="G40" s="5" t="s">
        <v>7</v>
      </c>
      <c r="H40" s="5">
        <f>P24</f>
        <v>6.1</v>
      </c>
      <c r="I40" s="5" t="s">
        <v>23</v>
      </c>
      <c r="O40" s="5" t="s">
        <v>1265</v>
      </c>
      <c r="P40" s="5">
        <f>P39*P19*P20</f>
        <v>5.8800000000000012E-2</v>
      </c>
      <c r="Q40" s="5" t="s">
        <v>21</v>
      </c>
      <c r="S40" s="5" t="s">
        <v>1266</v>
      </c>
      <c r="T40" s="5">
        <f>P78</f>
        <v>0.5</v>
      </c>
      <c r="U40" s="5" t="s">
        <v>23</v>
      </c>
      <c r="W40" s="5" t="s">
        <v>1267</v>
      </c>
      <c r="X40" s="5">
        <f>P32</f>
        <v>3.8000000000000003</v>
      </c>
      <c r="Y40" s="5" t="s">
        <v>23</v>
      </c>
      <c r="AB40" s="36"/>
      <c r="AC40" s="5">
        <f t="shared" si="3"/>
        <v>4.2</v>
      </c>
      <c r="AD40" s="5" t="s">
        <v>23</v>
      </c>
      <c r="AE40" s="44"/>
      <c r="AF40" s="5">
        <v>1.3</v>
      </c>
      <c r="AG40" s="5" t="s">
        <v>8</v>
      </c>
      <c r="AH40" s="5" t="s">
        <v>165</v>
      </c>
      <c r="AI40" s="5">
        <f>AI39*$C$10*10^-2</f>
        <v>0.05</v>
      </c>
      <c r="AJ40" s="5" t="s">
        <v>23</v>
      </c>
      <c r="AT40" s="14" t="s">
        <v>1268</v>
      </c>
      <c r="AU40" s="14">
        <f>AU39*AU30</f>
        <v>0.76744799999999991</v>
      </c>
      <c r="AV40" s="14" t="s">
        <v>21</v>
      </c>
      <c r="AX40" s="5" t="s">
        <v>1124</v>
      </c>
      <c r="AY40" s="5">
        <f t="shared" si="4"/>
        <v>3.45</v>
      </c>
      <c r="AZ40" s="5" t="s">
        <v>23</v>
      </c>
      <c r="BA40" s="92" t="s">
        <v>1099</v>
      </c>
      <c r="BB40" s="5">
        <f t="shared" si="5"/>
        <v>0.8</v>
      </c>
      <c r="BC40" s="5" t="s">
        <v>23</v>
      </c>
      <c r="BE40" s="5" t="s">
        <v>1269</v>
      </c>
      <c r="BF40" s="5">
        <v>1.7</v>
      </c>
      <c r="BG40" s="5" t="s">
        <v>8</v>
      </c>
      <c r="BI40" s="5" t="s">
        <v>14</v>
      </c>
      <c r="BJ40" s="5">
        <f>5*10^-2</f>
        <v>0.05</v>
      </c>
      <c r="BK40" s="5" t="s">
        <v>23</v>
      </c>
      <c r="BM40" s="9" t="s">
        <v>1270</v>
      </c>
      <c r="BN40" s="9">
        <f>BN39*(BN38*10^-3)</f>
        <v>3.8567077200000002</v>
      </c>
      <c r="BO40" s="9" t="s">
        <v>21</v>
      </c>
      <c r="BQ40" s="9" t="s">
        <v>7</v>
      </c>
      <c r="BR40" s="7">
        <v>6</v>
      </c>
      <c r="BS40" s="7" t="s">
        <v>622</v>
      </c>
      <c r="BU40" s="5" t="s">
        <v>284</v>
      </c>
      <c r="BV40" s="5">
        <v>2</v>
      </c>
      <c r="BW40" s="5" t="s">
        <v>8</v>
      </c>
      <c r="BY40" t="s">
        <v>1271</v>
      </c>
      <c r="BZ40">
        <v>2.2000000000000002</v>
      </c>
      <c r="CA40" s="5" t="s">
        <v>8</v>
      </c>
    </row>
    <row r="41" spans="1:79" x14ac:dyDescent="0.25">
      <c r="A41" s="5" t="s">
        <v>1154</v>
      </c>
      <c r="B41" s="5">
        <v>0.9</v>
      </c>
      <c r="C41" s="5" t="s">
        <v>8</v>
      </c>
      <c r="D41" s="5" t="s">
        <v>1272</v>
      </c>
      <c r="E41" s="5">
        <f>E35*E37</f>
        <v>0.10500000000000001</v>
      </c>
      <c r="F41" s="5" t="s">
        <v>33</v>
      </c>
      <c r="G41" s="5" t="s">
        <v>136</v>
      </c>
      <c r="H41" s="5">
        <f>((1/2)*H38*H40)*H39</f>
        <v>55.814999999999998</v>
      </c>
      <c r="I41" s="5" t="s">
        <v>33</v>
      </c>
      <c r="O41" s="5" t="s">
        <v>1273</v>
      </c>
      <c r="P41" s="5">
        <v>13</v>
      </c>
      <c r="Q41" s="5"/>
      <c r="S41" s="5" t="s">
        <v>1274</v>
      </c>
      <c r="T41" s="5">
        <f>T40</f>
        <v>0.5</v>
      </c>
      <c r="U41" s="5" t="s">
        <v>23</v>
      </c>
      <c r="W41" s="5" t="s">
        <v>1275</v>
      </c>
      <c r="X41" s="5">
        <f>X40*X20*X19</f>
        <v>1.0541199999999999E-2</v>
      </c>
      <c r="Y41" s="5" t="s">
        <v>21</v>
      </c>
      <c r="AB41" s="36"/>
      <c r="AC41" s="5">
        <f t="shared" si="3"/>
        <v>2.35</v>
      </c>
      <c r="AD41" s="5" t="s">
        <v>23</v>
      </c>
      <c r="AE41" s="44"/>
      <c r="AF41" s="5">
        <v>1.3</v>
      </c>
      <c r="AG41" s="5" t="s">
        <v>8</v>
      </c>
      <c r="AH41" s="40" t="s">
        <v>1276</v>
      </c>
      <c r="AJ41" s="44"/>
      <c r="AT41" s="5" t="s">
        <v>1277</v>
      </c>
      <c r="AU41" s="5">
        <v>0.2</v>
      </c>
      <c r="AV41" s="5" t="s">
        <v>111</v>
      </c>
      <c r="AX41" s="5" t="s">
        <v>1134</v>
      </c>
      <c r="AY41" s="5">
        <f t="shared" si="4"/>
        <v>3.8000000000000003</v>
      </c>
      <c r="AZ41" s="5" t="s">
        <v>23</v>
      </c>
      <c r="BA41" s="92" t="s">
        <v>1107</v>
      </c>
      <c r="BB41" s="5">
        <f t="shared" si="5"/>
        <v>3.5500000000000003</v>
      </c>
      <c r="BC41" s="5" t="s">
        <v>23</v>
      </c>
      <c r="BE41" s="5" t="s">
        <v>1278</v>
      </c>
      <c r="BF41" s="5">
        <v>7.1</v>
      </c>
      <c r="BG41" s="5" t="s">
        <v>8</v>
      </c>
      <c r="BI41" s="5" t="s">
        <v>124</v>
      </c>
      <c r="BJ41" s="5">
        <f>AM19</f>
        <v>12.950000000000001</v>
      </c>
      <c r="BK41" s="5" t="s">
        <v>23</v>
      </c>
      <c r="BM41" s="14" t="s">
        <v>281</v>
      </c>
      <c r="BN41" s="14">
        <f>BN40*F12</f>
        <v>6556.4031240000004</v>
      </c>
      <c r="BO41" s="14" t="s">
        <v>119</v>
      </c>
      <c r="BQ41" s="36"/>
      <c r="BR41" s="5">
        <f>BR40*2.62*10^-2</f>
        <v>0.15720000000000001</v>
      </c>
      <c r="BS41" s="5" t="s">
        <v>23</v>
      </c>
      <c r="BU41" s="5" t="s">
        <v>1279</v>
      </c>
      <c r="BV41" s="5">
        <f>BV40*$C$10*10^-2</f>
        <v>1</v>
      </c>
      <c r="BW41" s="5" t="s">
        <v>23</v>
      </c>
      <c r="BY41" t="s">
        <v>1101</v>
      </c>
      <c r="BZ41">
        <f t="shared" si="0"/>
        <v>1.1000000000000001</v>
      </c>
      <c r="CA41" s="5" t="s">
        <v>23</v>
      </c>
    </row>
    <row r="42" spans="1:79" x14ac:dyDescent="0.25">
      <c r="A42" s="5" t="s">
        <v>1171</v>
      </c>
      <c r="B42" s="5">
        <v>1.8</v>
      </c>
      <c r="C42" s="5" t="s">
        <v>8</v>
      </c>
      <c r="D42" s="5" t="s">
        <v>1280</v>
      </c>
      <c r="E42" s="5">
        <f>E38-E40</f>
        <v>0.22500000000000001</v>
      </c>
      <c r="F42" s="5" t="s">
        <v>33</v>
      </c>
      <c r="G42" s="5" t="s">
        <v>890</v>
      </c>
      <c r="H42" s="5">
        <f>H41/$F$9</f>
        <v>3664.3251050420163</v>
      </c>
      <c r="I42" s="5"/>
      <c r="O42" s="14" t="s">
        <v>1281</v>
      </c>
      <c r="P42" s="14">
        <f>P41*P40</f>
        <v>0.76440000000000019</v>
      </c>
      <c r="Q42" s="14" t="s">
        <v>21</v>
      </c>
      <c r="S42" s="5" t="s">
        <v>1282</v>
      </c>
      <c r="T42" s="5">
        <f>T41*T40</f>
        <v>0.25</v>
      </c>
      <c r="U42" s="5" t="s">
        <v>33</v>
      </c>
      <c r="W42" s="5" t="s">
        <v>1283</v>
      </c>
      <c r="X42" s="5">
        <f>X41*X39</f>
        <v>4.2164799999999995E-2</v>
      </c>
      <c r="Y42" s="5" t="s">
        <v>21</v>
      </c>
      <c r="AB42" s="36"/>
      <c r="AC42" s="5">
        <f t="shared" si="3"/>
        <v>0.65</v>
      </c>
      <c r="AD42" s="5" t="s">
        <v>23</v>
      </c>
      <c r="AE42" s="44"/>
      <c r="AF42" s="5">
        <v>1</v>
      </c>
      <c r="AG42" s="5" t="s">
        <v>8</v>
      </c>
      <c r="AH42" s="9" t="s">
        <v>1284</v>
      </c>
      <c r="AI42" s="5">
        <v>1</v>
      </c>
      <c r="AJ42" s="5" t="s">
        <v>8</v>
      </c>
      <c r="AT42" s="14" t="s">
        <v>771</v>
      </c>
      <c r="AU42" s="14">
        <f>AU41*(AU36*2)*AU29</f>
        <v>9.2399999999999996E-2</v>
      </c>
      <c r="AV42" s="14" t="s">
        <v>21</v>
      </c>
      <c r="AX42" s="90" t="s">
        <v>1143</v>
      </c>
      <c r="AY42" s="5">
        <f t="shared" si="4"/>
        <v>1.8</v>
      </c>
      <c r="AZ42" s="5" t="s">
        <v>23</v>
      </c>
      <c r="BA42" s="93" t="s">
        <v>1115</v>
      </c>
      <c r="BB42" s="5">
        <f t="shared" si="5"/>
        <v>4.3</v>
      </c>
      <c r="BC42" s="5" t="s">
        <v>23</v>
      </c>
      <c r="BE42" s="5" t="s">
        <v>1285</v>
      </c>
      <c r="BF42" s="5">
        <v>4</v>
      </c>
      <c r="BG42" s="5" t="s">
        <v>8</v>
      </c>
      <c r="BI42" s="5" t="s">
        <v>194</v>
      </c>
      <c r="BJ42" s="5">
        <f>ROUND(AM26/1,0)</f>
        <v>9</v>
      </c>
      <c r="BK42" s="5"/>
      <c r="BM42" s="27" t="s">
        <v>1286</v>
      </c>
      <c r="BN42" s="27"/>
      <c r="BO42" s="27"/>
      <c r="BQ42" s="9" t="s">
        <v>896</v>
      </c>
      <c r="BR42" s="5">
        <f>(3.5+4)/2</f>
        <v>3.75</v>
      </c>
      <c r="BS42" s="5" t="s">
        <v>622</v>
      </c>
      <c r="BU42" s="5" t="s">
        <v>148</v>
      </c>
      <c r="BV42" s="5">
        <v>2</v>
      </c>
      <c r="BW42" s="5" t="s">
        <v>8</v>
      </c>
      <c r="BY42" t="s">
        <v>1287</v>
      </c>
      <c r="BZ42">
        <v>1.5</v>
      </c>
      <c r="CA42" s="5" t="s">
        <v>8</v>
      </c>
    </row>
    <row r="43" spans="1:79" x14ac:dyDescent="0.25">
      <c r="A43" s="5" t="s">
        <v>1182</v>
      </c>
      <c r="B43" s="5">
        <v>0.9</v>
      </c>
      <c r="C43" s="5" t="s">
        <v>8</v>
      </c>
      <c r="D43" s="5" t="s">
        <v>1288</v>
      </c>
      <c r="E43" s="5">
        <f>E39-E41</f>
        <v>0.12</v>
      </c>
      <c r="F43" s="5" t="s">
        <v>33</v>
      </c>
      <c r="G43" s="14" t="s">
        <v>513</v>
      </c>
      <c r="H43" s="5">
        <f>H42*$F$11</f>
        <v>9160.8127626050409</v>
      </c>
      <c r="I43" s="5" t="s">
        <v>119</v>
      </c>
      <c r="O43" s="5" t="s">
        <v>1289</v>
      </c>
      <c r="P43" s="5">
        <v>8</v>
      </c>
      <c r="Q43" s="5" t="s">
        <v>8</v>
      </c>
      <c r="S43" s="5" t="s">
        <v>746</v>
      </c>
      <c r="T43" s="5">
        <v>7</v>
      </c>
      <c r="U43" s="5"/>
      <c r="W43" s="5" t="s">
        <v>1290</v>
      </c>
      <c r="X43" s="5">
        <f>X42*X32</f>
        <v>0.16865919999999998</v>
      </c>
      <c r="Y43" s="5" t="s">
        <v>21</v>
      </c>
      <c r="AB43" s="36"/>
      <c r="AC43" s="5">
        <f t="shared" si="3"/>
        <v>1.5</v>
      </c>
      <c r="AD43" s="5" t="s">
        <v>23</v>
      </c>
      <c r="AE43" s="44"/>
      <c r="AF43" s="5">
        <v>7.9</v>
      </c>
      <c r="AG43" s="5" t="s">
        <v>23</v>
      </c>
      <c r="AH43" s="7"/>
      <c r="AI43" s="5">
        <v>3.1</v>
      </c>
      <c r="AJ43" s="5" t="s">
        <v>8</v>
      </c>
      <c r="AX43" s="5" t="s">
        <v>1152</v>
      </c>
      <c r="AY43" s="5">
        <f t="shared" si="4"/>
        <v>1.4000000000000001</v>
      </c>
      <c r="AZ43" s="5" t="s">
        <v>23</v>
      </c>
      <c r="BA43" s="92" t="s">
        <v>1125</v>
      </c>
      <c r="BB43" s="5">
        <f t="shared" si="5"/>
        <v>1.85</v>
      </c>
      <c r="BC43" s="5" t="s">
        <v>23</v>
      </c>
      <c r="BE43" s="5" t="s">
        <v>1291</v>
      </c>
      <c r="BF43" s="5">
        <v>4</v>
      </c>
      <c r="BG43" s="5" t="s">
        <v>8</v>
      </c>
      <c r="BI43" s="5" t="s">
        <v>205</v>
      </c>
      <c r="BJ43" s="5">
        <f>BJ39*BJ40*BJ41*BJ42</f>
        <v>2.9137500000000004E-2</v>
      </c>
      <c r="BK43" s="5" t="s">
        <v>21</v>
      </c>
      <c r="BM43" s="5" t="s">
        <v>809</v>
      </c>
      <c r="BN43" s="5">
        <f>6/20</f>
        <v>0.3</v>
      </c>
      <c r="BO43" s="5" t="s">
        <v>810</v>
      </c>
      <c r="BQ43" s="7"/>
      <c r="BR43" s="5">
        <f>BR42*2.62*10^-2</f>
        <v>9.8250000000000018E-2</v>
      </c>
      <c r="BS43" s="5" t="s">
        <v>23</v>
      </c>
      <c r="BU43" s="5" t="s">
        <v>1292</v>
      </c>
      <c r="BV43" s="5">
        <f>BV42*$C$10*10^-2</f>
        <v>1</v>
      </c>
      <c r="BW43" s="5" t="s">
        <v>23</v>
      </c>
      <c r="BY43" t="s">
        <v>1101</v>
      </c>
      <c r="BZ43">
        <f t="shared" si="0"/>
        <v>0.75</v>
      </c>
      <c r="CA43" s="5" t="s">
        <v>23</v>
      </c>
    </row>
    <row r="44" spans="1:79" x14ac:dyDescent="0.25">
      <c r="A44" s="5" t="s">
        <v>978</v>
      </c>
      <c r="B44" s="5">
        <f t="shared" ref="B44:B49" si="6">B38*$C$10*10^-2</f>
        <v>1.75</v>
      </c>
      <c r="C44" s="5" t="s">
        <v>23</v>
      </c>
      <c r="D44" t="s">
        <v>1238</v>
      </c>
      <c r="G44" s="5" t="s">
        <v>128</v>
      </c>
      <c r="H44" s="5">
        <f>H42*($F$9-$F$8)</f>
        <v>10.699829306722684</v>
      </c>
      <c r="I44" s="5" t="s">
        <v>33</v>
      </c>
      <c r="O44" s="5" t="s">
        <v>1293</v>
      </c>
      <c r="P44" s="5">
        <f>(P43*50)*10^-2</f>
        <v>4</v>
      </c>
      <c r="Q44" s="5" t="s">
        <v>23</v>
      </c>
      <c r="S44" s="5" t="s">
        <v>1294</v>
      </c>
      <c r="T44" s="5">
        <f>T43*T42</f>
        <v>1.75</v>
      </c>
      <c r="U44" s="5" t="s">
        <v>33</v>
      </c>
      <c r="AB44" s="36"/>
      <c r="AC44" s="5">
        <f t="shared" si="3"/>
        <v>2.5</v>
      </c>
      <c r="AD44" s="5" t="s">
        <v>23</v>
      </c>
      <c r="AE44" s="44"/>
      <c r="AF44" s="5">
        <v>17.3</v>
      </c>
      <c r="AG44" s="5" t="s">
        <v>8</v>
      </c>
      <c r="AH44" s="9" t="s">
        <v>54</v>
      </c>
      <c r="AI44" s="5">
        <f>AI42*$C$10*10^-2</f>
        <v>0.5</v>
      </c>
      <c r="AJ44" s="5" t="s">
        <v>23</v>
      </c>
      <c r="AT44" s="14" t="s">
        <v>1295</v>
      </c>
      <c r="AU44" s="14">
        <f>AU42+AU35+AU40</f>
        <v>1.5840329999999998</v>
      </c>
      <c r="AV44" s="14" t="s">
        <v>21</v>
      </c>
      <c r="AX44" s="5" t="s">
        <v>1160</v>
      </c>
      <c r="AY44" s="5">
        <f t="shared" si="4"/>
        <v>1.1000000000000001</v>
      </c>
      <c r="AZ44" s="5" t="s">
        <v>23</v>
      </c>
      <c r="BA44" s="93" t="s">
        <v>1134</v>
      </c>
      <c r="BB44" s="5">
        <f t="shared" si="5"/>
        <v>1.1000000000000001</v>
      </c>
      <c r="BC44" s="5" t="s">
        <v>23</v>
      </c>
      <c r="BE44" s="5" t="s">
        <v>1296</v>
      </c>
      <c r="BF44" s="5">
        <v>3.3</v>
      </c>
      <c r="BG44" s="5" t="s">
        <v>8</v>
      </c>
      <c r="BI44" s="5" t="s">
        <v>215</v>
      </c>
      <c r="BJ44" s="5">
        <v>7850</v>
      </c>
      <c r="BK44" s="5" t="s">
        <v>35</v>
      </c>
      <c r="BM44" s="5" t="s">
        <v>125</v>
      </c>
      <c r="BN44" s="5">
        <f>BN39</f>
        <v>257.11384800000002</v>
      </c>
      <c r="BO44" s="5" t="s">
        <v>33</v>
      </c>
      <c r="BQ44" s="5" t="s">
        <v>673</v>
      </c>
      <c r="BR44" s="5">
        <v>26</v>
      </c>
      <c r="BS44" s="5" t="s">
        <v>8</v>
      </c>
      <c r="BU44" s="5" t="s">
        <v>168</v>
      </c>
      <c r="BV44" s="5">
        <v>1.2</v>
      </c>
      <c r="BW44" s="5" t="s">
        <v>8</v>
      </c>
      <c r="BY44" t="s">
        <v>1297</v>
      </c>
      <c r="BZ44">
        <v>1.4</v>
      </c>
      <c r="CA44" s="5" t="s">
        <v>8</v>
      </c>
    </row>
    <row r="45" spans="1:79" x14ac:dyDescent="0.25">
      <c r="A45" s="5" t="s">
        <v>980</v>
      </c>
      <c r="B45" s="5">
        <f t="shared" si="6"/>
        <v>0.6</v>
      </c>
      <c r="C45" s="5" t="s">
        <v>23</v>
      </c>
      <c r="D45" s="5" t="s">
        <v>673</v>
      </c>
      <c r="E45" s="5">
        <v>2.2999999999999998</v>
      </c>
      <c r="F45" s="5" t="s">
        <v>8</v>
      </c>
      <c r="G45" s="5" t="s">
        <v>138</v>
      </c>
      <c r="H45" s="5">
        <f>H44*(($F$4)*10^-2)</f>
        <v>1.1555815651260499</v>
      </c>
      <c r="I45" s="5" t="s">
        <v>21</v>
      </c>
      <c r="O45" s="5" t="s">
        <v>1298</v>
      </c>
      <c r="P45" s="5">
        <f>P44*P19*P20</f>
        <v>7.8400000000000011E-2</v>
      </c>
      <c r="Q45" s="5" t="s">
        <v>21</v>
      </c>
      <c r="W45" s="14" t="s">
        <v>1299</v>
      </c>
      <c r="X45" s="14">
        <f>X43+X29</f>
        <v>0.49502029999999997</v>
      </c>
      <c r="Y45" s="14" t="s">
        <v>21</v>
      </c>
      <c r="AB45" s="36"/>
      <c r="AC45" s="5">
        <f t="shared" si="3"/>
        <v>0.65</v>
      </c>
      <c r="AD45" s="5" t="s">
        <v>23</v>
      </c>
      <c r="AE45" s="44"/>
      <c r="AF45" s="5">
        <v>6.1</v>
      </c>
      <c r="AG45" s="5" t="s">
        <v>8</v>
      </c>
      <c r="AH45" s="7"/>
      <c r="AI45" s="5">
        <f>AI43*$C$10*10^-2</f>
        <v>1.55</v>
      </c>
      <c r="AJ45" s="5" t="s">
        <v>23</v>
      </c>
      <c r="AX45" s="5" t="s">
        <v>1168</v>
      </c>
      <c r="AY45" s="5">
        <f t="shared" si="4"/>
        <v>1.6</v>
      </c>
      <c r="AZ45" s="5" t="s">
        <v>23</v>
      </c>
      <c r="BA45" s="93" t="s">
        <v>1144</v>
      </c>
      <c r="BB45" s="5">
        <f t="shared" si="5"/>
        <v>1.7</v>
      </c>
      <c r="BC45" s="5" t="s">
        <v>23</v>
      </c>
      <c r="BE45" s="5" t="s">
        <v>1300</v>
      </c>
      <c r="BF45" s="5">
        <v>3.3</v>
      </c>
      <c r="BG45" s="5" t="s">
        <v>8</v>
      </c>
      <c r="BI45" s="5" t="s">
        <v>227</v>
      </c>
      <c r="BJ45" s="5">
        <f>BJ43*BJ44</f>
        <v>228.72937500000003</v>
      </c>
      <c r="BK45" s="5" t="s">
        <v>119</v>
      </c>
      <c r="BM45" s="20" t="s">
        <v>1301</v>
      </c>
      <c r="BN45" s="20">
        <f>BN44*BN43</f>
        <v>77.1341544</v>
      </c>
      <c r="BO45" s="20" t="s">
        <v>119</v>
      </c>
      <c r="BQ45" s="5" t="s">
        <v>420</v>
      </c>
      <c r="BR45" s="5">
        <f>BR44*$C$10*10^-2</f>
        <v>13</v>
      </c>
      <c r="BS45" s="5" t="s">
        <v>23</v>
      </c>
      <c r="BU45" s="5" t="s">
        <v>1302</v>
      </c>
      <c r="BV45" s="5">
        <f>BV44*$C$10*10^-2</f>
        <v>0.6</v>
      </c>
      <c r="BW45" s="5" t="s">
        <v>23</v>
      </c>
      <c r="BY45" t="s">
        <v>1101</v>
      </c>
      <c r="BZ45">
        <f t="shared" si="0"/>
        <v>0.70000000000000007</v>
      </c>
      <c r="CA45" s="5" t="s">
        <v>23</v>
      </c>
    </row>
    <row r="46" spans="1:79" x14ac:dyDescent="0.25">
      <c r="A46" s="5" t="s">
        <v>1181</v>
      </c>
      <c r="B46" s="5">
        <f t="shared" si="6"/>
        <v>1.8</v>
      </c>
      <c r="C46" s="5" t="s">
        <v>23</v>
      </c>
      <c r="D46" s="5" t="s">
        <v>1080</v>
      </c>
      <c r="E46" s="5">
        <v>3.7</v>
      </c>
      <c r="F46" s="5" t="s">
        <v>8</v>
      </c>
      <c r="G46" s="20" t="s">
        <v>150</v>
      </c>
      <c r="H46" s="9">
        <f>H45*$F$12</f>
        <v>1964.4886607142848</v>
      </c>
      <c r="I46" s="9" t="s">
        <v>119</v>
      </c>
      <c r="O46" s="5" t="s">
        <v>1303</v>
      </c>
      <c r="P46" s="5">
        <v>13</v>
      </c>
      <c r="Q46" s="88"/>
      <c r="S46" s="14" t="s">
        <v>1304</v>
      </c>
      <c r="T46" s="14">
        <f>(T38+T26)-T44</f>
        <v>138.32079034199347</v>
      </c>
      <c r="U46" s="14" t="s">
        <v>33</v>
      </c>
      <c r="W46" s="14" t="s">
        <v>1305</v>
      </c>
      <c r="X46" s="14">
        <f>X45+T82</f>
        <v>6.5230687077196112</v>
      </c>
      <c r="Y46" s="14" t="s">
        <v>21</v>
      </c>
      <c r="AB46" s="36"/>
      <c r="AC46" s="5">
        <f t="shared" si="3"/>
        <v>2.35</v>
      </c>
      <c r="AD46" s="5" t="s">
        <v>23</v>
      </c>
      <c r="AE46" s="44"/>
      <c r="AF46" s="5">
        <v>4.9000000000000004</v>
      </c>
      <c r="AG46" s="5" t="s">
        <v>8</v>
      </c>
      <c r="AH46" s="5" t="s">
        <v>1306</v>
      </c>
      <c r="AI46" s="5">
        <f>AI44+AI45</f>
        <v>2.0499999999999998</v>
      </c>
      <c r="AJ46" s="5" t="s">
        <v>23</v>
      </c>
      <c r="AX46" s="5" t="s">
        <v>1176</v>
      </c>
      <c r="AY46" s="5">
        <f t="shared" si="4"/>
        <v>2.65</v>
      </c>
      <c r="AZ46" s="5" t="s">
        <v>23</v>
      </c>
      <c r="BA46" s="93" t="s">
        <v>1143</v>
      </c>
      <c r="BB46" s="5">
        <f t="shared" si="5"/>
        <v>2.65</v>
      </c>
      <c r="BC46" s="5" t="s">
        <v>23</v>
      </c>
      <c r="BE46" s="5" t="s">
        <v>1307</v>
      </c>
      <c r="BF46" s="5">
        <v>0.8</v>
      </c>
      <c r="BG46" s="5" t="s">
        <v>8</v>
      </c>
      <c r="BQ46" s="5" t="s">
        <v>915</v>
      </c>
      <c r="BR46" s="5">
        <f>(PI()*(BR41/2)*BR43)/2</f>
        <v>1.2130396093857252E-2</v>
      </c>
      <c r="BS46" s="5" t="s">
        <v>33</v>
      </c>
      <c r="BU46" s="5" t="s">
        <v>331</v>
      </c>
      <c r="BV46" s="5">
        <v>1.7</v>
      </c>
      <c r="BW46" s="5" t="s">
        <v>8</v>
      </c>
      <c r="BY46" t="s">
        <v>1308</v>
      </c>
      <c r="BZ46">
        <v>1.5</v>
      </c>
      <c r="CA46" s="5" t="s">
        <v>8</v>
      </c>
    </row>
    <row r="47" spans="1:79" x14ac:dyDescent="0.25">
      <c r="A47" s="5" t="s">
        <v>1192</v>
      </c>
      <c r="B47" s="5">
        <f t="shared" si="6"/>
        <v>0.45</v>
      </c>
      <c r="C47" s="5" t="s">
        <v>23</v>
      </c>
      <c r="D47" s="5" t="s">
        <v>1154</v>
      </c>
      <c r="E47" s="5">
        <v>0.7</v>
      </c>
      <c r="F47" s="5" t="s">
        <v>8</v>
      </c>
      <c r="G47" s="46" t="s">
        <v>1309</v>
      </c>
      <c r="O47" s="14" t="s">
        <v>1310</v>
      </c>
      <c r="P47" s="14">
        <f>P46*P45</f>
        <v>1.0192000000000001</v>
      </c>
      <c r="Q47" s="14" t="s">
        <v>21</v>
      </c>
      <c r="S47" s="27" t="s">
        <v>1311</v>
      </c>
      <c r="T47" s="5"/>
      <c r="U47" s="5"/>
      <c r="AB47" s="36"/>
      <c r="AC47" s="5">
        <f>AC33*$C$10*10^-2</f>
        <v>2</v>
      </c>
      <c r="AD47" s="5" t="s">
        <v>23</v>
      </c>
      <c r="AE47" s="44"/>
      <c r="AF47" s="5">
        <v>7.9</v>
      </c>
      <c r="AG47" s="5" t="s">
        <v>8</v>
      </c>
      <c r="AH47" s="43" t="s">
        <v>136</v>
      </c>
      <c r="AI47" s="5">
        <f>AI46*AC20</f>
        <v>5.6374999999999993</v>
      </c>
      <c r="AJ47" s="5" t="s">
        <v>33</v>
      </c>
      <c r="AT47" s="5" t="s">
        <v>1312</v>
      </c>
      <c r="AU47" s="5"/>
      <c r="AV47" s="5"/>
      <c r="AX47" s="5" t="s">
        <v>1188</v>
      </c>
      <c r="AY47" s="5">
        <f t="shared" si="4"/>
        <v>2.6</v>
      </c>
      <c r="AZ47" s="5" t="s">
        <v>23</v>
      </c>
      <c r="BA47" s="93" t="s">
        <v>1160</v>
      </c>
      <c r="BB47" s="5">
        <f t="shared" si="5"/>
        <v>1.1499999999999999</v>
      </c>
      <c r="BC47" s="5" t="s">
        <v>23</v>
      </c>
      <c r="BE47" s="5" t="s">
        <v>1313</v>
      </c>
      <c r="BF47" s="5">
        <v>0.8</v>
      </c>
      <c r="BG47" s="5" t="s">
        <v>8</v>
      </c>
      <c r="BM47" s="19"/>
      <c r="BN47" s="19"/>
      <c r="BO47" s="19"/>
      <c r="BQ47" s="5" t="s">
        <v>921</v>
      </c>
      <c r="BR47" s="5">
        <f>(PI()*((BR41-(2*BR23))/2)*BR43)/2</f>
        <v>1.1119529752702481E-2</v>
      </c>
      <c r="BS47" s="5" t="s">
        <v>33</v>
      </c>
      <c r="BU47" s="5" t="s">
        <v>1314</v>
      </c>
      <c r="BV47" s="5">
        <f>BV46*$C$10*10^-2</f>
        <v>0.85</v>
      </c>
      <c r="BW47" s="5" t="s">
        <v>23</v>
      </c>
      <c r="BY47" t="s">
        <v>1101</v>
      </c>
      <c r="BZ47">
        <f t="shared" si="0"/>
        <v>0.75</v>
      </c>
      <c r="CA47" s="5" t="s">
        <v>23</v>
      </c>
    </row>
    <row r="48" spans="1:79" x14ac:dyDescent="0.25">
      <c r="A48" s="78" t="s">
        <v>1229</v>
      </c>
      <c r="B48" s="5">
        <f t="shared" si="6"/>
        <v>0.9</v>
      </c>
      <c r="C48" s="5" t="s">
        <v>23</v>
      </c>
      <c r="D48" s="5" t="s">
        <v>1171</v>
      </c>
      <c r="E48" s="5">
        <v>0.9</v>
      </c>
      <c r="F48" s="5" t="s">
        <v>8</v>
      </c>
      <c r="G48" s="5" t="s">
        <v>54</v>
      </c>
      <c r="H48" s="5">
        <f>P72</f>
        <v>2.75</v>
      </c>
      <c r="I48" s="5" t="s">
        <v>23</v>
      </c>
      <c r="O48" s="5" t="s">
        <v>1315</v>
      </c>
      <c r="P48" s="5">
        <v>3</v>
      </c>
      <c r="Q48" s="5" t="s">
        <v>8</v>
      </c>
      <c r="S48" s="5" t="s">
        <v>1316</v>
      </c>
      <c r="T48" s="5">
        <v>12.7</v>
      </c>
      <c r="U48" s="5" t="s">
        <v>96</v>
      </c>
      <c r="AB48" s="7"/>
      <c r="AC48" s="5">
        <f>AC34*$C$10*10^-2</f>
        <v>4.2</v>
      </c>
      <c r="AD48" s="5" t="s">
        <v>23</v>
      </c>
      <c r="AE48" s="36"/>
      <c r="AF48" s="5">
        <v>0.3</v>
      </c>
      <c r="AG48" s="5" t="s">
        <v>8</v>
      </c>
      <c r="AH48" s="5" t="s">
        <v>1317</v>
      </c>
      <c r="AI48" s="5">
        <v>4</v>
      </c>
      <c r="AJ48" s="5"/>
      <c r="AT48" s="5" t="s">
        <v>1318</v>
      </c>
      <c r="AU48" s="5">
        <v>2.7</v>
      </c>
      <c r="AV48" s="5" t="s">
        <v>8</v>
      </c>
      <c r="AX48" s="5" t="s">
        <v>1195</v>
      </c>
      <c r="AY48" s="5">
        <f t="shared" si="4"/>
        <v>1.55</v>
      </c>
      <c r="AZ48" s="5" t="s">
        <v>23</v>
      </c>
      <c r="BA48" s="93" t="s">
        <v>1168</v>
      </c>
      <c r="BB48" s="5">
        <f t="shared" si="5"/>
        <v>1.6500000000000001</v>
      </c>
      <c r="BC48" s="5" t="s">
        <v>23</v>
      </c>
      <c r="BE48" s="5" t="s">
        <v>1319</v>
      </c>
      <c r="BF48" s="5">
        <v>1</v>
      </c>
      <c r="BG48" s="5" t="s">
        <v>8</v>
      </c>
      <c r="BM48" s="17"/>
      <c r="BN48" s="17"/>
      <c r="BO48" s="17"/>
      <c r="BQ48" s="36" t="s">
        <v>928</v>
      </c>
      <c r="BR48" s="5">
        <f>(BR46-BR47)*BR45</f>
        <v>1.3141262435012013E-2</v>
      </c>
      <c r="BS48" s="5" t="s">
        <v>21</v>
      </c>
      <c r="BU48" s="5" t="s">
        <v>92</v>
      </c>
      <c r="BV48" s="5">
        <v>1.7</v>
      </c>
      <c r="BW48" s="5" t="s">
        <v>8</v>
      </c>
      <c r="BY48" t="s">
        <v>1320</v>
      </c>
      <c r="BZ48">
        <v>2.2000000000000002</v>
      </c>
      <c r="CA48" s="5" t="s">
        <v>8</v>
      </c>
    </row>
    <row r="49" spans="1:83" x14ac:dyDescent="0.25">
      <c r="A49" s="5" t="s">
        <v>1239</v>
      </c>
      <c r="B49" s="5">
        <f t="shared" si="6"/>
        <v>0.45</v>
      </c>
      <c r="C49" s="5" t="s">
        <v>23</v>
      </c>
      <c r="D49" s="5" t="s">
        <v>1182</v>
      </c>
      <c r="E49">
        <v>1.7</v>
      </c>
      <c r="F49" t="s">
        <v>8</v>
      </c>
      <c r="G49" s="5" t="s">
        <v>13</v>
      </c>
      <c r="H49" s="5">
        <f>P75</f>
        <v>1.25</v>
      </c>
      <c r="I49" s="5" t="s">
        <v>23</v>
      </c>
      <c r="O49" s="5" t="s">
        <v>1321</v>
      </c>
      <c r="P49" s="5">
        <f>(P48*50)*10^-2</f>
        <v>1.5</v>
      </c>
      <c r="Q49" s="5" t="s">
        <v>23</v>
      </c>
      <c r="S49" s="9" t="s">
        <v>1322</v>
      </c>
      <c r="T49" s="9">
        <v>20</v>
      </c>
      <c r="U49" s="9" t="s">
        <v>810</v>
      </c>
      <c r="AB49" s="5" t="s">
        <v>1323</v>
      </c>
      <c r="AC49" s="5">
        <f>SUM(AC35:AC48)</f>
        <v>38.75</v>
      </c>
      <c r="AD49" s="5" t="s">
        <v>23</v>
      </c>
      <c r="AE49" s="36"/>
      <c r="AF49" s="5">
        <v>1.3</v>
      </c>
      <c r="AG49" s="5" t="s">
        <v>8</v>
      </c>
      <c r="AH49" s="5" t="s">
        <v>1324</v>
      </c>
      <c r="AI49" s="5">
        <f>AI47*AI48</f>
        <v>22.549999999999997</v>
      </c>
      <c r="AJ49" s="5" t="s">
        <v>33</v>
      </c>
      <c r="AT49" s="5" t="s">
        <v>301</v>
      </c>
      <c r="AU49" s="5">
        <v>2.8</v>
      </c>
      <c r="AV49" s="5" t="s">
        <v>8</v>
      </c>
      <c r="AX49" s="5" t="s">
        <v>1205</v>
      </c>
      <c r="AY49" s="5">
        <f t="shared" si="4"/>
        <v>3.5500000000000003</v>
      </c>
      <c r="AZ49" s="5" t="s">
        <v>23</v>
      </c>
      <c r="BA49" s="94">
        <v>5</v>
      </c>
      <c r="BB49" s="5">
        <f t="shared" si="5"/>
        <v>4.5</v>
      </c>
      <c r="BC49" s="5" t="s">
        <v>23</v>
      </c>
      <c r="BE49" s="27" t="s">
        <v>1325</v>
      </c>
      <c r="BF49" s="5"/>
      <c r="BG49" s="5"/>
      <c r="BQ49" s="36" t="s">
        <v>935</v>
      </c>
      <c r="BR49" s="5">
        <v>2</v>
      </c>
      <c r="BS49" s="5"/>
      <c r="BU49" s="5" t="s">
        <v>1326</v>
      </c>
      <c r="BV49" s="5">
        <f>BV48*$C$10*10^-2</f>
        <v>0.85</v>
      </c>
      <c r="BW49" s="5" t="s">
        <v>23</v>
      </c>
      <c r="BY49" t="s">
        <v>1101</v>
      </c>
      <c r="BZ49">
        <f t="shared" si="0"/>
        <v>1.1000000000000001</v>
      </c>
      <c r="CA49" s="5" t="s">
        <v>23</v>
      </c>
    </row>
    <row r="50" spans="1:83" x14ac:dyDescent="0.25">
      <c r="A50" s="5" t="s">
        <v>803</v>
      </c>
      <c r="B50" s="5">
        <v>3</v>
      </c>
      <c r="C50" s="5"/>
      <c r="D50" s="5" t="s">
        <v>420</v>
      </c>
      <c r="E50" s="5">
        <f>E45*$C$10*10^-2</f>
        <v>1.1499999999999999</v>
      </c>
      <c r="F50" s="5" t="s">
        <v>23</v>
      </c>
      <c r="G50" s="5" t="s">
        <v>790</v>
      </c>
      <c r="H50" s="5">
        <f>H48*H49*(1/2)</f>
        <v>1.71875</v>
      </c>
      <c r="I50" s="5" t="s">
        <v>33</v>
      </c>
      <c r="O50" s="5" t="s">
        <v>1327</v>
      </c>
      <c r="P50" s="5">
        <v>0.1</v>
      </c>
      <c r="Q50" s="5" t="s">
        <v>8</v>
      </c>
      <c r="S50" s="5" t="s">
        <v>710</v>
      </c>
      <c r="T50" s="5">
        <f>T46*T48</f>
        <v>1756.674037343317</v>
      </c>
      <c r="U50" s="5" t="s">
        <v>96</v>
      </c>
      <c r="AB50" s="5" t="s">
        <v>1103</v>
      </c>
      <c r="AC50" s="5">
        <f>AC49*AC20</f>
        <v>106.5625</v>
      </c>
      <c r="AD50" s="5" t="s">
        <v>33</v>
      </c>
      <c r="AE50" s="36"/>
      <c r="AF50" s="5">
        <v>1.3</v>
      </c>
      <c r="AG50" s="5" t="s">
        <v>8</v>
      </c>
      <c r="AH50" s="40" t="s">
        <v>1071</v>
      </c>
      <c r="AJ50" s="44"/>
      <c r="AT50" s="36" t="s">
        <v>239</v>
      </c>
      <c r="AU50" s="36">
        <v>1.5</v>
      </c>
      <c r="AV50" s="36" t="s">
        <v>98</v>
      </c>
      <c r="AX50" s="90" t="s">
        <v>1189</v>
      </c>
      <c r="AY50" s="5">
        <f t="shared" si="4"/>
        <v>0.85</v>
      </c>
      <c r="AZ50" s="5" t="s">
        <v>23</v>
      </c>
      <c r="BA50" s="92" t="s">
        <v>1189</v>
      </c>
      <c r="BB50" s="5">
        <f t="shared" si="5"/>
        <v>0.5</v>
      </c>
      <c r="BC50" s="5" t="s">
        <v>23</v>
      </c>
      <c r="BE50" s="5" t="str">
        <f t="shared" ref="BE50:BE78" si="7">BE20</f>
        <v>12 (g)</v>
      </c>
      <c r="BF50" s="5">
        <f t="shared" ref="BF50:BF78" si="8">(BF20*50)*10^-2</f>
        <v>8.15</v>
      </c>
      <c r="BG50" s="5" t="s">
        <v>23</v>
      </c>
      <c r="BQ50" s="36" t="s">
        <v>939</v>
      </c>
      <c r="BR50" s="5">
        <f>BR48*BR49</f>
        <v>2.6282524870024027E-2</v>
      </c>
      <c r="BS50" s="5" t="s">
        <v>21</v>
      </c>
      <c r="BU50" s="5" t="s">
        <v>116</v>
      </c>
      <c r="BV50" s="5">
        <v>2</v>
      </c>
      <c r="BW50" s="5" t="s">
        <v>8</v>
      </c>
      <c r="BY50" t="s">
        <v>1328</v>
      </c>
      <c r="BZ50">
        <v>3.5</v>
      </c>
      <c r="CA50" s="5" t="s">
        <v>8</v>
      </c>
    </row>
    <row r="51" spans="1:83" x14ac:dyDescent="0.25">
      <c r="A51" s="5" t="s">
        <v>812</v>
      </c>
      <c r="B51" s="5">
        <v>3</v>
      </c>
      <c r="C51" s="5"/>
      <c r="D51" s="5" t="s">
        <v>1181</v>
      </c>
      <c r="E51" s="5">
        <f>E46*$C$10*10^-2</f>
        <v>1.85</v>
      </c>
      <c r="F51" s="5" t="s">
        <v>23</v>
      </c>
      <c r="G51" s="5" t="s">
        <v>673</v>
      </c>
      <c r="H51" s="5">
        <v>1.1000000000000001</v>
      </c>
      <c r="I51" s="5" t="s">
        <v>8</v>
      </c>
      <c r="O51" s="5" t="s">
        <v>1329</v>
      </c>
      <c r="P51" s="5">
        <f>(P50*50)*10^-2</f>
        <v>0.05</v>
      </c>
      <c r="Q51" s="5" t="s">
        <v>23</v>
      </c>
      <c r="S51" s="14" t="s">
        <v>720</v>
      </c>
      <c r="T51" s="14">
        <f>T46*T49</f>
        <v>2766.4158068398692</v>
      </c>
      <c r="U51" s="14" t="s">
        <v>108</v>
      </c>
      <c r="AB51" s="6" t="s">
        <v>1071</v>
      </c>
      <c r="AC51" s="4"/>
      <c r="AD51" s="2"/>
      <c r="AE51" s="36"/>
      <c r="AF51" s="5">
        <v>2.5</v>
      </c>
      <c r="AG51" s="5" t="s">
        <v>8</v>
      </c>
      <c r="AH51" s="5" t="s">
        <v>1085</v>
      </c>
      <c r="AI51" s="5">
        <v>1</v>
      </c>
      <c r="AJ51" s="5" t="s">
        <v>8</v>
      </c>
      <c r="AT51" s="5" t="s">
        <v>1330</v>
      </c>
      <c r="AU51" s="5">
        <f>(AU48*50)*10^-2</f>
        <v>1.35</v>
      </c>
      <c r="AV51" s="5" t="s">
        <v>23</v>
      </c>
      <c r="AX51" t="s">
        <v>1331</v>
      </c>
      <c r="BA51" s="89" t="s">
        <v>1196</v>
      </c>
      <c r="BB51" s="5">
        <f t="shared" si="5"/>
        <v>3.5500000000000003</v>
      </c>
      <c r="BC51" s="5" t="s">
        <v>23</v>
      </c>
      <c r="BE51" s="5" t="str">
        <f t="shared" si="7"/>
        <v>8a (y)</v>
      </c>
      <c r="BF51" s="5">
        <f t="shared" si="8"/>
        <v>3.6</v>
      </c>
      <c r="BG51" s="5" t="s">
        <v>23</v>
      </c>
      <c r="BQ51" s="36" t="s">
        <v>943</v>
      </c>
      <c r="BR51" s="5">
        <f>(BR46*BR23)*4</f>
        <v>3.1781637765906001E-4</v>
      </c>
      <c r="BS51" s="5" t="s">
        <v>21</v>
      </c>
      <c r="BU51" s="5" t="s">
        <v>1332</v>
      </c>
      <c r="BV51" s="5">
        <f>BV50*$C$10*10^-2</f>
        <v>1</v>
      </c>
      <c r="BW51" s="5" t="s">
        <v>23</v>
      </c>
      <c r="BY51" t="s">
        <v>1101</v>
      </c>
      <c r="BZ51">
        <f t="shared" si="0"/>
        <v>1.75</v>
      </c>
      <c r="CA51" s="5" t="s">
        <v>23</v>
      </c>
    </row>
    <row r="52" spans="1:83" x14ac:dyDescent="0.25">
      <c r="A52" s="5" t="s">
        <v>1247</v>
      </c>
      <c r="B52" s="5">
        <f>B44*B46</f>
        <v>3.15</v>
      </c>
      <c r="C52" s="5" t="s">
        <v>33</v>
      </c>
      <c r="D52" s="5" t="s">
        <v>1192</v>
      </c>
      <c r="E52" s="5">
        <f>E47*$C$10*10^-2</f>
        <v>0.35000000000000003</v>
      </c>
      <c r="F52" s="5" t="s">
        <v>23</v>
      </c>
      <c r="G52" s="5" t="s">
        <v>651</v>
      </c>
      <c r="H52" s="5">
        <v>3.1</v>
      </c>
      <c r="I52" s="5" t="s">
        <v>8</v>
      </c>
      <c r="O52" s="5" t="s">
        <v>1333</v>
      </c>
      <c r="P52" s="5">
        <f>P51*P51*P49</f>
        <v>3.7500000000000007E-3</v>
      </c>
      <c r="Q52" s="5" t="s">
        <v>21</v>
      </c>
      <c r="AB52" s="5" t="s">
        <v>1334</v>
      </c>
      <c r="AC52" s="5">
        <v>4.3</v>
      </c>
      <c r="AD52" s="5" t="s">
        <v>8</v>
      </c>
      <c r="AE52" s="36"/>
      <c r="AF52" s="5">
        <v>2.4</v>
      </c>
      <c r="AG52" s="5" t="s">
        <v>8</v>
      </c>
      <c r="AH52" s="5" t="s">
        <v>7</v>
      </c>
      <c r="AI52" s="5">
        <f>AI51*$C$10*10^-2</f>
        <v>0.5</v>
      </c>
      <c r="AJ52" s="5" t="s">
        <v>23</v>
      </c>
      <c r="AT52" s="5" t="s">
        <v>1335</v>
      </c>
      <c r="AU52" s="5">
        <f>(AU49*50)*10^-2</f>
        <v>1.4000000000000001</v>
      </c>
      <c r="AV52" s="5" t="s">
        <v>23</v>
      </c>
      <c r="AX52" s="5" t="s">
        <v>1087</v>
      </c>
      <c r="AY52" s="5">
        <v>12</v>
      </c>
      <c r="AZ52" s="5"/>
      <c r="BA52" s="92" t="s">
        <v>1206</v>
      </c>
      <c r="BB52" s="5">
        <f t="shared" si="5"/>
        <v>2.6</v>
      </c>
      <c r="BC52" s="5" t="s">
        <v>23</v>
      </c>
      <c r="BE52" s="5" t="str">
        <f t="shared" si="7"/>
        <v>8b (y)</v>
      </c>
      <c r="BF52" s="5">
        <f t="shared" si="8"/>
        <v>3.6</v>
      </c>
      <c r="BG52" s="5" t="s">
        <v>23</v>
      </c>
      <c r="BQ52" s="36" t="s">
        <v>1336</v>
      </c>
      <c r="BR52" s="5">
        <f>BR38+BR50-BR51</f>
        <v>8.5888865196019779E-2</v>
      </c>
      <c r="BS52" s="5" t="s">
        <v>21</v>
      </c>
      <c r="BU52" s="5" t="s">
        <v>1337</v>
      </c>
      <c r="BV52" s="5">
        <v>1.2</v>
      </c>
      <c r="BW52" s="5" t="s">
        <v>8</v>
      </c>
      <c r="BY52" t="s">
        <v>1338</v>
      </c>
      <c r="BZ52">
        <v>4.7</v>
      </c>
      <c r="CA52" s="5" t="s">
        <v>8</v>
      </c>
    </row>
    <row r="53" spans="1:83" x14ac:dyDescent="0.25">
      <c r="A53" s="5" t="s">
        <v>1255</v>
      </c>
      <c r="B53" s="5">
        <f>B46*B45</f>
        <v>1.08</v>
      </c>
      <c r="C53" s="5" t="s">
        <v>33</v>
      </c>
      <c r="D53" s="78" t="s">
        <v>1229</v>
      </c>
      <c r="E53" s="5">
        <f>E48*$C$10*10^-2</f>
        <v>0.45</v>
      </c>
      <c r="F53" s="5" t="s">
        <v>23</v>
      </c>
      <c r="G53" s="5" t="s">
        <v>54</v>
      </c>
      <c r="H53" s="5">
        <f>H51*$C$10*10^-2</f>
        <v>0.55000000000000004</v>
      </c>
      <c r="I53" s="5" t="s">
        <v>23</v>
      </c>
      <c r="O53" s="5" t="s">
        <v>1339</v>
      </c>
      <c r="P53" s="5">
        <v>13</v>
      </c>
      <c r="Q53" s="5"/>
      <c r="S53" s="5" t="s">
        <v>1340</v>
      </c>
      <c r="T53" s="5"/>
      <c r="U53" s="5"/>
      <c r="AB53" s="5" t="s">
        <v>1341</v>
      </c>
      <c r="AC53" s="5">
        <v>4.0999999999999996</v>
      </c>
      <c r="AD53" s="5" t="s">
        <v>8</v>
      </c>
      <c r="AE53" s="36"/>
      <c r="AF53" s="5">
        <v>1.4</v>
      </c>
      <c r="AG53" s="5" t="s">
        <v>8</v>
      </c>
      <c r="AH53" s="5" t="s">
        <v>136</v>
      </c>
      <c r="AI53" s="5">
        <f>AI52*AC57</f>
        <v>1.0249999999999999</v>
      </c>
      <c r="AJ53" s="5" t="s">
        <v>33</v>
      </c>
      <c r="AT53" s="36" t="s">
        <v>1342</v>
      </c>
      <c r="AU53">
        <f>(AU50*50)*10^-2</f>
        <v>0.75</v>
      </c>
      <c r="AV53" s="36" t="s">
        <v>23</v>
      </c>
      <c r="AX53" s="5" t="s">
        <v>1343</v>
      </c>
      <c r="AY53" s="5">
        <v>4</v>
      </c>
      <c r="AZ53" s="5"/>
      <c r="BA53" s="93" t="s">
        <v>1216</v>
      </c>
      <c r="BB53" s="5">
        <f t="shared" si="5"/>
        <v>1.95</v>
      </c>
      <c r="BC53" s="5" t="s">
        <v>23</v>
      </c>
      <c r="BE53" s="5" t="str">
        <f t="shared" si="7"/>
        <v>8c (g)</v>
      </c>
      <c r="BF53" s="5">
        <f t="shared" si="8"/>
        <v>0.85</v>
      </c>
      <c r="BG53" s="5" t="s">
        <v>23</v>
      </c>
      <c r="BQ53" s="5" t="s">
        <v>954</v>
      </c>
      <c r="BR53" s="5">
        <f>7.133*10^3</f>
        <v>7133</v>
      </c>
      <c r="BS53" s="5" t="s">
        <v>35</v>
      </c>
      <c r="BU53" s="5" t="s">
        <v>1344</v>
      </c>
      <c r="BV53" s="5">
        <f>BV52*$C$10*10^-2</f>
        <v>0.6</v>
      </c>
      <c r="BW53" s="5" t="s">
        <v>23</v>
      </c>
      <c r="BY53" t="s">
        <v>1101</v>
      </c>
      <c r="BZ53">
        <f t="shared" si="0"/>
        <v>2.35</v>
      </c>
      <c r="CA53" s="5" t="s">
        <v>23</v>
      </c>
    </row>
    <row r="54" spans="1:83" x14ac:dyDescent="0.25">
      <c r="A54" s="5" t="s">
        <v>1264</v>
      </c>
      <c r="B54" s="5">
        <f>(B47*B48*B50)+(B47*B49*B51)</f>
        <v>1.8225000000000002</v>
      </c>
      <c r="C54" s="5" t="s">
        <v>33</v>
      </c>
      <c r="D54" s="36" t="s">
        <v>1239</v>
      </c>
      <c r="E54" s="9">
        <f>E49*$C$10*10^-2</f>
        <v>0.85</v>
      </c>
      <c r="F54" s="36" t="s">
        <v>23</v>
      </c>
      <c r="G54" s="5" t="s">
        <v>13</v>
      </c>
      <c r="H54" s="5">
        <f>H52*$C$10*10^-2</f>
        <v>1.55</v>
      </c>
      <c r="I54" s="5" t="s">
        <v>23</v>
      </c>
      <c r="O54" s="14" t="s">
        <v>1345</v>
      </c>
      <c r="P54" s="14">
        <f>P53*P52</f>
        <v>4.8750000000000009E-2</v>
      </c>
      <c r="Q54" s="14" t="s">
        <v>21</v>
      </c>
      <c r="S54" s="27" t="s">
        <v>1346</v>
      </c>
      <c r="T54" s="5">
        <v>11</v>
      </c>
      <c r="U54" s="5" t="s">
        <v>270</v>
      </c>
      <c r="AB54" s="5" t="s">
        <v>1347</v>
      </c>
      <c r="AC54" s="5">
        <v>2.2999999999999998</v>
      </c>
      <c r="AD54" s="5" t="s">
        <v>8</v>
      </c>
      <c r="AE54" s="36"/>
      <c r="AF54" s="5">
        <v>1.4</v>
      </c>
      <c r="AG54" s="5" t="s">
        <v>8</v>
      </c>
      <c r="AH54" s="5" t="s">
        <v>1075</v>
      </c>
      <c r="AI54" s="5">
        <v>4</v>
      </c>
      <c r="AJ54" s="5"/>
      <c r="AT54" s="5" t="s">
        <v>1167</v>
      </c>
      <c r="AU54" s="5">
        <f>AU52+AU51</f>
        <v>2.75</v>
      </c>
      <c r="AV54" s="5" t="s">
        <v>111</v>
      </c>
      <c r="AX54" s="5" t="s">
        <v>1124</v>
      </c>
      <c r="AY54" s="5">
        <v>2</v>
      </c>
      <c r="AZ54" s="5"/>
      <c r="BA54" s="91" t="s">
        <v>1225</v>
      </c>
      <c r="BB54" s="5">
        <f t="shared" si="5"/>
        <v>1.95</v>
      </c>
      <c r="BC54" s="5" t="s">
        <v>23</v>
      </c>
      <c r="BE54" s="5" t="str">
        <f t="shared" si="7"/>
        <v>8d (y)</v>
      </c>
      <c r="BF54" s="5">
        <f t="shared" si="8"/>
        <v>3.5500000000000003</v>
      </c>
      <c r="BG54" s="5" t="s">
        <v>23</v>
      </c>
      <c r="BQ54" s="36" t="s">
        <v>1348</v>
      </c>
      <c r="BR54">
        <f>(BR50-BR51)*BR53</f>
        <v>185.20626567603932</v>
      </c>
      <c r="BS54" s="36" t="s">
        <v>119</v>
      </c>
      <c r="BU54" s="5" t="s">
        <v>463</v>
      </c>
      <c r="BV54" s="5">
        <v>2</v>
      </c>
      <c r="BW54" s="5" t="s">
        <v>8</v>
      </c>
      <c r="BY54" t="s">
        <v>1349</v>
      </c>
      <c r="BZ54">
        <v>4</v>
      </c>
      <c r="CA54" s="5" t="s">
        <v>8</v>
      </c>
    </row>
    <row r="55" spans="1:83" x14ac:dyDescent="0.25">
      <c r="A55" s="5" t="s">
        <v>1272</v>
      </c>
      <c r="B55" s="5">
        <f>(B47*B48)+(B49*B47)</f>
        <v>0.60750000000000004</v>
      </c>
      <c r="C55" s="5" t="s">
        <v>33</v>
      </c>
      <c r="D55" s="5" t="s">
        <v>803</v>
      </c>
      <c r="E55" s="5">
        <v>2</v>
      </c>
      <c r="F55" s="5"/>
      <c r="G55" s="5" t="s">
        <v>796</v>
      </c>
      <c r="H55" s="5">
        <f>(1/2)*H53*H54</f>
        <v>0.42625000000000007</v>
      </c>
      <c r="I55" s="5" t="s">
        <v>33</v>
      </c>
      <c r="O55" s="5" t="s">
        <v>1350</v>
      </c>
      <c r="P55" s="5">
        <v>2.6</v>
      </c>
      <c r="Q55" s="5" t="s">
        <v>8</v>
      </c>
      <c r="S55" s="5" t="s">
        <v>1351</v>
      </c>
      <c r="T55" s="5">
        <v>2</v>
      </c>
      <c r="U55" s="5" t="s">
        <v>1352</v>
      </c>
      <c r="AB55" s="5" t="s">
        <v>1353</v>
      </c>
      <c r="AC55" s="5">
        <v>1.7</v>
      </c>
      <c r="AD55" s="5" t="s">
        <v>8</v>
      </c>
      <c r="AE55" s="36"/>
      <c r="AF55" s="5">
        <v>0.6</v>
      </c>
      <c r="AG55" s="5" t="s">
        <v>8</v>
      </c>
      <c r="AH55" s="5" t="s">
        <v>367</v>
      </c>
      <c r="AI55" s="5">
        <f>AI53*AI54</f>
        <v>4.0999999999999996</v>
      </c>
      <c r="AJ55" s="5" t="s">
        <v>33</v>
      </c>
      <c r="AT55" s="5" t="s">
        <v>1175</v>
      </c>
      <c r="AU55" s="5">
        <v>17</v>
      </c>
      <c r="AV55" s="5"/>
      <c r="AX55" s="5" t="s">
        <v>1114</v>
      </c>
      <c r="AY55" s="5">
        <v>2</v>
      </c>
      <c r="AZ55" s="5"/>
      <c r="BA55" s="93" t="s">
        <v>1233</v>
      </c>
      <c r="BB55" s="5">
        <f t="shared" si="5"/>
        <v>3.5500000000000003</v>
      </c>
      <c r="BC55" s="5" t="s">
        <v>23</v>
      </c>
      <c r="BE55" s="5" t="str">
        <f t="shared" si="7"/>
        <v>8e (y)</v>
      </c>
      <c r="BF55" s="5">
        <f t="shared" si="8"/>
        <v>3.6</v>
      </c>
      <c r="BG55" s="5" t="s">
        <v>23</v>
      </c>
      <c r="BQ55" s="36" t="s">
        <v>1354</v>
      </c>
      <c r="BR55">
        <f>BR38*BR53</f>
        <v>427.43900976716969</v>
      </c>
      <c r="BS55" s="36" t="s">
        <v>119</v>
      </c>
      <c r="BU55" s="5" t="s">
        <v>1355</v>
      </c>
      <c r="BV55" s="5">
        <f>BV54*$C$10*10^-2</f>
        <v>1</v>
      </c>
      <c r="BW55" s="5" t="s">
        <v>23</v>
      </c>
      <c r="BY55" t="s">
        <v>1101</v>
      </c>
      <c r="BZ55">
        <f t="shared" si="0"/>
        <v>2</v>
      </c>
      <c r="CA55" s="5" t="s">
        <v>23</v>
      </c>
    </row>
    <row r="56" spans="1:83" x14ac:dyDescent="0.25">
      <c r="A56" s="5" t="s">
        <v>1280</v>
      </c>
      <c r="B56" s="5">
        <f>B52-B54</f>
        <v>1.3274999999999997</v>
      </c>
      <c r="C56" s="5" t="s">
        <v>33</v>
      </c>
      <c r="D56" s="5" t="s">
        <v>812</v>
      </c>
      <c r="E56" s="5">
        <v>2</v>
      </c>
      <c r="F56" s="5"/>
      <c r="G56" s="48" t="s">
        <v>650</v>
      </c>
      <c r="O56" s="5" t="s">
        <v>1356</v>
      </c>
      <c r="P56" s="5">
        <f>(P55*50)*10^-2</f>
        <v>1.3</v>
      </c>
      <c r="Q56" s="5" t="s">
        <v>23</v>
      </c>
      <c r="S56" s="14" t="s">
        <v>1357</v>
      </c>
      <c r="T56" s="14">
        <f>P30</f>
        <v>2.3709384077196103</v>
      </c>
      <c r="U56" s="14" t="s">
        <v>21</v>
      </c>
      <c r="AB56" s="5" t="s">
        <v>1358</v>
      </c>
      <c r="AC56" s="5">
        <f>AC52*$C$10*10^-2</f>
        <v>2.15</v>
      </c>
      <c r="AD56" s="5" t="s">
        <v>23</v>
      </c>
      <c r="AE56" s="36"/>
      <c r="AF56" s="5">
        <v>8.6</v>
      </c>
      <c r="AG56" s="5" t="s">
        <v>8</v>
      </c>
      <c r="AH56" s="5" t="s">
        <v>1359</v>
      </c>
      <c r="AI56" s="5">
        <f>AI49-AI55</f>
        <v>18.449999999999996</v>
      </c>
      <c r="AJ56" s="5" t="s">
        <v>33</v>
      </c>
      <c r="AT56" s="5" t="s">
        <v>1187</v>
      </c>
      <c r="AU56" s="5">
        <f>AU54/AU55</f>
        <v>0.16176470588235295</v>
      </c>
      <c r="AV56" s="5" t="s">
        <v>8</v>
      </c>
      <c r="AX56" s="5" t="s">
        <v>1134</v>
      </c>
      <c r="AY56" s="5">
        <v>2</v>
      </c>
      <c r="AZ56" s="5"/>
      <c r="BA56" s="92" t="s">
        <v>1244</v>
      </c>
      <c r="BB56" s="5">
        <f t="shared" si="5"/>
        <v>3.95</v>
      </c>
      <c r="BC56" s="5" t="s">
        <v>23</v>
      </c>
      <c r="BE56" s="5" t="str">
        <f t="shared" si="7"/>
        <v>8f (g)</v>
      </c>
      <c r="BF56" s="5">
        <f t="shared" si="8"/>
        <v>0.85</v>
      </c>
      <c r="BG56" s="5" t="s">
        <v>23</v>
      </c>
      <c r="BQ56" s="5" t="s">
        <v>1360</v>
      </c>
      <c r="BR56" s="5">
        <f>BR53*BR52</f>
        <v>612.64527544320913</v>
      </c>
      <c r="BS56" s="5" t="s">
        <v>119</v>
      </c>
      <c r="BU56" s="5" t="s">
        <v>1361</v>
      </c>
      <c r="BV56" s="5">
        <v>2.5</v>
      </c>
      <c r="BW56" s="5" t="s">
        <v>8</v>
      </c>
      <c r="BY56" t="s">
        <v>1362</v>
      </c>
      <c r="BZ56">
        <v>4.3</v>
      </c>
      <c r="CA56" s="5" t="s">
        <v>8</v>
      </c>
      <c r="CC56" s="21" t="s">
        <v>479</v>
      </c>
      <c r="CD56" s="4"/>
      <c r="CE56" s="2"/>
    </row>
    <row r="57" spans="1:83" x14ac:dyDescent="0.25">
      <c r="A57" s="5" t="s">
        <v>1288</v>
      </c>
      <c r="B57" s="5">
        <f>B53-B55</f>
        <v>0.47250000000000003</v>
      </c>
      <c r="C57" s="5" t="s">
        <v>33</v>
      </c>
      <c r="D57" s="5" t="s">
        <v>313</v>
      </c>
      <c r="E57" s="5">
        <f>E50*E51</f>
        <v>2.1274999999999999</v>
      </c>
      <c r="F57" s="5" t="s">
        <v>33</v>
      </c>
      <c r="G57" s="5" t="s">
        <v>54</v>
      </c>
      <c r="H57" s="5">
        <f>P68</f>
        <v>1.95</v>
      </c>
      <c r="I57" s="5" t="s">
        <v>23</v>
      </c>
      <c r="O57" s="5" t="s">
        <v>1363</v>
      </c>
      <c r="P57" s="5">
        <f>P56*P19*P20</f>
        <v>2.5480000000000006E-2</v>
      </c>
      <c r="Q57" s="5" t="s">
        <v>21</v>
      </c>
      <c r="S57" s="5" t="s">
        <v>1364</v>
      </c>
      <c r="T57" s="5"/>
      <c r="U57" s="5"/>
      <c r="AB57" s="5" t="s">
        <v>1365</v>
      </c>
      <c r="AC57" s="5">
        <f t="shared" ref="AC57:AC59" si="9">AC53*$C$10*10^-2</f>
        <v>2.0499999999999998</v>
      </c>
      <c r="AD57" s="5" t="s">
        <v>23</v>
      </c>
      <c r="AE57" s="36"/>
      <c r="AF57" s="5">
        <v>4</v>
      </c>
      <c r="AG57" s="5" t="s">
        <v>8</v>
      </c>
      <c r="AH57" s="5" t="s">
        <v>679</v>
      </c>
      <c r="AI57" s="5">
        <f>AI56*AI40</f>
        <v>0.92249999999999988</v>
      </c>
      <c r="AJ57" s="5" t="s">
        <v>21</v>
      </c>
      <c r="AT57" s="5" t="s">
        <v>1194</v>
      </c>
      <c r="AU57" s="5">
        <f>(AU50-(2*0.06))*AU54</f>
        <v>3.7949999999999999</v>
      </c>
      <c r="AV57" s="5" t="s">
        <v>33</v>
      </c>
      <c r="AX57" s="5" t="s">
        <v>1152</v>
      </c>
      <c r="AY57" s="5">
        <v>3</v>
      </c>
      <c r="AZ57" s="5"/>
      <c r="BA57" t="s">
        <v>1366</v>
      </c>
      <c r="BE57" s="5" t="str">
        <f t="shared" si="7"/>
        <v>6a (y)</v>
      </c>
      <c r="BF57" s="5">
        <f t="shared" si="8"/>
        <v>4.3</v>
      </c>
      <c r="BG57" s="5" t="s">
        <v>23</v>
      </c>
      <c r="BU57" s="5" t="s">
        <v>1325</v>
      </c>
      <c r="BV57" s="5">
        <f>BV56*$C$10*10^-2</f>
        <v>1.25</v>
      </c>
      <c r="BW57" s="5" t="s">
        <v>23</v>
      </c>
      <c r="BY57" t="s">
        <v>1101</v>
      </c>
      <c r="BZ57">
        <f t="shared" si="0"/>
        <v>2.15</v>
      </c>
      <c r="CA57" s="5" t="s">
        <v>23</v>
      </c>
      <c r="CC57" s="5" t="s">
        <v>484</v>
      </c>
      <c r="CD57" s="5">
        <v>3</v>
      </c>
      <c r="CE57" s="5"/>
    </row>
    <row r="58" spans="1:83" x14ac:dyDescent="0.25">
      <c r="A58" s="5" t="s">
        <v>1081</v>
      </c>
      <c r="B58" s="5">
        <v>6</v>
      </c>
      <c r="C58" s="5"/>
      <c r="D58" s="5" t="s">
        <v>1264</v>
      </c>
      <c r="E58" s="5">
        <f>E52*E53*E55</f>
        <v>0.31500000000000006</v>
      </c>
      <c r="F58" s="5" t="s">
        <v>33</v>
      </c>
      <c r="G58" s="5" t="s">
        <v>13</v>
      </c>
      <c r="H58" s="5">
        <f>P70</f>
        <v>1.5</v>
      </c>
      <c r="I58" s="5" t="s">
        <v>23</v>
      </c>
      <c r="O58" s="5" t="s">
        <v>1367</v>
      </c>
      <c r="P58" s="5">
        <v>13</v>
      </c>
      <c r="Q58" s="5"/>
      <c r="S58" s="27" t="s">
        <v>1368</v>
      </c>
      <c r="T58" s="5"/>
      <c r="U58" s="5"/>
      <c r="AB58" s="5" t="s">
        <v>1369</v>
      </c>
      <c r="AC58" s="5">
        <f t="shared" si="9"/>
        <v>1.1499999999999999</v>
      </c>
      <c r="AD58" s="5" t="s">
        <v>23</v>
      </c>
      <c r="AE58" s="36"/>
      <c r="AF58" s="5">
        <v>4.5</v>
      </c>
      <c r="AG58" s="5" t="s">
        <v>8</v>
      </c>
      <c r="AH58" s="40" t="s">
        <v>1223</v>
      </c>
      <c r="AJ58" s="44"/>
      <c r="AT58" s="5" t="s">
        <v>258</v>
      </c>
      <c r="AU58" s="5">
        <v>9.5000000000000001E-2</v>
      </c>
      <c r="AV58" s="5" t="s">
        <v>23</v>
      </c>
      <c r="AX58" s="5" t="s">
        <v>1160</v>
      </c>
      <c r="AY58" s="5">
        <v>2</v>
      </c>
      <c r="AZ58" s="5"/>
      <c r="BA58" s="2" t="s">
        <v>1088</v>
      </c>
      <c r="BB58" s="5">
        <v>8</v>
      </c>
      <c r="BC58" s="5"/>
      <c r="BE58" s="5" t="str">
        <f t="shared" si="7"/>
        <v>6b (g)</v>
      </c>
      <c r="BF58" s="5">
        <f t="shared" si="8"/>
        <v>4.05</v>
      </c>
      <c r="BG58" s="5" t="s">
        <v>23</v>
      </c>
      <c r="BU58" s="5" t="s">
        <v>1370</v>
      </c>
      <c r="BV58" s="5">
        <v>3.5</v>
      </c>
      <c r="BW58" s="5" t="s">
        <v>8</v>
      </c>
      <c r="BY58" t="s">
        <v>1371</v>
      </c>
      <c r="BZ58">
        <v>2.5</v>
      </c>
      <c r="CA58" s="5" t="s">
        <v>8</v>
      </c>
      <c r="CC58" s="5" t="s">
        <v>420</v>
      </c>
      <c r="CD58" s="5">
        <f>10*10^-2</f>
        <v>0.1</v>
      </c>
      <c r="CE58" s="5" t="s">
        <v>23</v>
      </c>
    </row>
    <row r="59" spans="1:83" x14ac:dyDescent="0.25">
      <c r="A59" s="5" t="s">
        <v>1372</v>
      </c>
      <c r="B59" s="5">
        <v>8</v>
      </c>
      <c r="C59" s="5"/>
      <c r="D59" s="36" t="s">
        <v>1272</v>
      </c>
      <c r="E59">
        <f>E52*E54*E56</f>
        <v>0.59500000000000008</v>
      </c>
      <c r="F59" s="36" t="s">
        <v>33</v>
      </c>
      <c r="G59" s="5" t="s">
        <v>136</v>
      </c>
      <c r="H59" s="5">
        <f>H57*H58</f>
        <v>2.9249999999999998</v>
      </c>
      <c r="I59" s="5" t="s">
        <v>33</v>
      </c>
      <c r="O59" s="5" t="s">
        <v>1352</v>
      </c>
      <c r="P59" s="5">
        <v>2</v>
      </c>
      <c r="Q59" s="5"/>
      <c r="S59" s="5" t="s">
        <v>269</v>
      </c>
      <c r="T59" s="5">
        <v>13</v>
      </c>
      <c r="U59" s="5" t="s">
        <v>270</v>
      </c>
      <c r="AB59" s="5" t="s">
        <v>1373</v>
      </c>
      <c r="AC59" s="5">
        <f t="shared" si="9"/>
        <v>0.85</v>
      </c>
      <c r="AD59" s="5" t="s">
        <v>23</v>
      </c>
      <c r="AE59" s="36"/>
      <c r="AF59" s="5">
        <v>1</v>
      </c>
      <c r="AG59" s="5" t="s">
        <v>8</v>
      </c>
      <c r="AH59" s="9" t="s">
        <v>1284</v>
      </c>
      <c r="AI59" s="5">
        <v>1.1000000000000001</v>
      </c>
      <c r="AJ59" s="5" t="s">
        <v>8</v>
      </c>
      <c r="AT59" s="5" t="s">
        <v>1215</v>
      </c>
      <c r="AU59" s="5">
        <f>AU58</f>
        <v>9.5000000000000001E-2</v>
      </c>
      <c r="AV59" s="5" t="s">
        <v>23</v>
      </c>
      <c r="AX59" s="5" t="s">
        <v>444</v>
      </c>
      <c r="AY59" s="5">
        <f>(AY52*AY36)+AY37+(AY53*AY38)+(AY39*AY55)+(AY54*AY40)+(AY56*AY41)+AY42+(AY57*AY43)+(AY58*AY44)+AY45+AY46+AY47+AY48+AY49+AY50</f>
        <v>149.5</v>
      </c>
      <c r="AZ59" s="5" t="s">
        <v>23</v>
      </c>
      <c r="BA59" s="2" t="s">
        <v>1099</v>
      </c>
      <c r="BB59" s="5">
        <v>3</v>
      </c>
      <c r="BC59" s="5"/>
      <c r="BE59" s="5" t="str">
        <f t="shared" si="7"/>
        <v>6c (g)</v>
      </c>
      <c r="BF59" s="5">
        <f t="shared" si="8"/>
        <v>1.6</v>
      </c>
      <c r="BG59" s="5" t="s">
        <v>23</v>
      </c>
      <c r="BU59" s="5" t="s">
        <v>1101</v>
      </c>
      <c r="BV59" s="5">
        <f>BV58*$C$10*10^-2</f>
        <v>1.75</v>
      </c>
      <c r="BW59" s="5" t="s">
        <v>23</v>
      </c>
      <c r="BY59" t="s">
        <v>1101</v>
      </c>
      <c r="BZ59">
        <f>BZ58*$C$10*10^-2</f>
        <v>1.25</v>
      </c>
      <c r="CA59" s="5" t="s">
        <v>23</v>
      </c>
      <c r="CC59" s="43" t="s">
        <v>492</v>
      </c>
      <c r="CD59" s="5">
        <f>1848.9*10^-6</f>
        <v>1.8489000000000001E-3</v>
      </c>
      <c r="CE59" s="5" t="s">
        <v>119</v>
      </c>
    </row>
    <row r="60" spans="1:83" x14ac:dyDescent="0.25">
      <c r="A60" s="5" t="s">
        <v>1374</v>
      </c>
      <c r="B60" s="5">
        <v>1</v>
      </c>
      <c r="C60" s="5"/>
      <c r="D60" s="5" t="s">
        <v>626</v>
      </c>
      <c r="E60" s="5">
        <f>E58+E59</f>
        <v>0.91000000000000014</v>
      </c>
      <c r="F60" s="5" t="s">
        <v>33</v>
      </c>
      <c r="G60" s="5" t="s">
        <v>1375</v>
      </c>
      <c r="H60" s="5">
        <v>0.6</v>
      </c>
      <c r="I60" s="5" t="s">
        <v>8</v>
      </c>
      <c r="O60" s="14" t="s">
        <v>1376</v>
      </c>
      <c r="P60" s="14">
        <f>P57*P58*P59</f>
        <v>0.66248000000000018</v>
      </c>
      <c r="Q60" s="14" t="s">
        <v>21</v>
      </c>
      <c r="S60" s="14" t="s">
        <v>1377</v>
      </c>
      <c r="T60" s="14">
        <f>P42</f>
        <v>0.76440000000000019</v>
      </c>
      <c r="U60" s="14" t="s">
        <v>21</v>
      </c>
      <c r="AB60" s="5" t="s">
        <v>1378</v>
      </c>
      <c r="AC60" s="5">
        <v>2</v>
      </c>
      <c r="AD60" s="5"/>
      <c r="AE60" s="36"/>
      <c r="AF60" s="5">
        <v>3.2</v>
      </c>
      <c r="AG60" s="5" t="s">
        <v>8</v>
      </c>
      <c r="AH60" s="7"/>
      <c r="AI60" s="5">
        <v>2.5</v>
      </c>
      <c r="AJ60" s="5" t="s">
        <v>8</v>
      </c>
      <c r="AT60" s="14" t="s">
        <v>1224</v>
      </c>
      <c r="AU60" s="14">
        <f>AU57*AU59</f>
        <v>0.36052499999999998</v>
      </c>
      <c r="AV60" s="14" t="s">
        <v>21</v>
      </c>
      <c r="AX60" s="5" t="s">
        <v>1379</v>
      </c>
      <c r="AY60" s="5">
        <f>(AY36*AY52)+AY37+(AY39*AY55)+AY42+AY50</f>
        <v>102.44999999999999</v>
      </c>
      <c r="AZ60" s="5" t="s">
        <v>23</v>
      </c>
      <c r="BA60" s="2" t="s">
        <v>1107</v>
      </c>
      <c r="BB60" s="5">
        <v>3</v>
      </c>
      <c r="BC60" s="5"/>
      <c r="BE60" s="5" t="str">
        <f t="shared" si="7"/>
        <v>6d (y)</v>
      </c>
      <c r="BF60" s="5">
        <f t="shared" si="8"/>
        <v>1.1000000000000001</v>
      </c>
      <c r="BG60" s="5" t="s">
        <v>23</v>
      </c>
      <c r="BY60" t="s">
        <v>1380</v>
      </c>
      <c r="BZ60">
        <v>2.2999999999999998</v>
      </c>
      <c r="CA60" s="36" t="s">
        <v>8</v>
      </c>
      <c r="CC60" s="35"/>
      <c r="CD60" s="5">
        <f>CD59/CD58</f>
        <v>1.8488999999999998E-2</v>
      </c>
      <c r="CE60" s="5" t="s">
        <v>494</v>
      </c>
    </row>
    <row r="61" spans="1:83" x14ac:dyDescent="0.25">
      <c r="A61" s="5" t="s">
        <v>719</v>
      </c>
      <c r="B61" s="5">
        <f>(B34*B58)+(B52*B59)+(B53*B60)</f>
        <v>28.229999999999997</v>
      </c>
      <c r="C61" s="5" t="s">
        <v>33</v>
      </c>
      <c r="D61" s="5" t="s">
        <v>178</v>
      </c>
      <c r="E61" s="5">
        <f>E57-E60</f>
        <v>1.2174999999999998</v>
      </c>
      <c r="F61" s="5" t="s">
        <v>33</v>
      </c>
      <c r="G61" s="5" t="s">
        <v>1381</v>
      </c>
      <c r="H61" s="5">
        <v>0.7</v>
      </c>
      <c r="I61" s="5" t="s">
        <v>8</v>
      </c>
      <c r="O61" s="5" t="s">
        <v>1382</v>
      </c>
      <c r="P61" s="5">
        <v>1.4</v>
      </c>
      <c r="Q61" s="5" t="s">
        <v>8</v>
      </c>
      <c r="S61" s="27" t="s">
        <v>1383</v>
      </c>
      <c r="T61" s="5"/>
      <c r="U61" s="5"/>
      <c r="AB61" s="5" t="s">
        <v>632</v>
      </c>
      <c r="AC61" s="5">
        <v>7</v>
      </c>
      <c r="AD61" s="5"/>
      <c r="AE61" s="36"/>
      <c r="AF61" s="5">
        <v>0.2</v>
      </c>
      <c r="AG61" s="5" t="s">
        <v>8</v>
      </c>
      <c r="AH61" s="9" t="s">
        <v>54</v>
      </c>
      <c r="AI61" s="5">
        <f>AI59*$C$10*10^-2</f>
        <v>0.55000000000000004</v>
      </c>
      <c r="AJ61" s="5" t="s">
        <v>23</v>
      </c>
      <c r="AT61" s="5" t="s">
        <v>713</v>
      </c>
      <c r="AU61" s="5">
        <v>0.06</v>
      </c>
      <c r="AV61" s="5" t="s">
        <v>111</v>
      </c>
      <c r="AX61" s="5" t="s">
        <v>1384</v>
      </c>
      <c r="AY61" s="5">
        <f>AY59-AY60</f>
        <v>47.050000000000011</v>
      </c>
      <c r="AZ61" s="5" t="s">
        <v>23</v>
      </c>
      <c r="BA61" s="95">
        <v>5</v>
      </c>
      <c r="BB61" s="5">
        <v>3</v>
      </c>
      <c r="BC61" s="5"/>
      <c r="BE61" s="5" t="str">
        <f t="shared" si="7"/>
        <v>6e (y)</v>
      </c>
      <c r="BF61" s="5">
        <f t="shared" si="8"/>
        <v>2.75</v>
      </c>
      <c r="BG61" s="5" t="s">
        <v>23</v>
      </c>
      <c r="BU61" t="s">
        <v>1385</v>
      </c>
      <c r="BV61">
        <f>AC20</f>
        <v>2.75</v>
      </c>
      <c r="BW61" t="s">
        <v>23</v>
      </c>
      <c r="BY61" t="s">
        <v>1101</v>
      </c>
      <c r="BZ61">
        <f>BZ60*$C$10*10^-2</f>
        <v>1.1499999999999999</v>
      </c>
      <c r="CA61" s="36" t="s">
        <v>23</v>
      </c>
      <c r="CC61" s="9" t="s">
        <v>497</v>
      </c>
      <c r="CD61" s="5">
        <f>2206.9*10^-6</f>
        <v>2.2068999999999999E-3</v>
      </c>
      <c r="CE61" s="5" t="s">
        <v>119</v>
      </c>
    </row>
    <row r="62" spans="1:83" x14ac:dyDescent="0.25">
      <c r="A62" s="5" t="s">
        <v>887</v>
      </c>
      <c r="B62" s="5">
        <f>(B35*B58)+(B54*B59)+(B55*B60)</f>
        <v>15.997500000000002</v>
      </c>
      <c r="C62" s="5" t="s">
        <v>33</v>
      </c>
      <c r="D62" s="5" t="s">
        <v>1386</v>
      </c>
      <c r="E62" s="5">
        <v>5</v>
      </c>
      <c r="F62" s="5"/>
      <c r="G62" s="5" t="s">
        <v>1387</v>
      </c>
      <c r="H62" s="5">
        <v>1.3</v>
      </c>
      <c r="I62" s="5" t="s">
        <v>8</v>
      </c>
      <c r="O62" s="5" t="s">
        <v>1388</v>
      </c>
      <c r="P62" s="5">
        <f>(P61*50)*10^-2</f>
        <v>0.70000000000000007</v>
      </c>
      <c r="Q62" s="5" t="s">
        <v>23</v>
      </c>
      <c r="S62" s="5" t="s">
        <v>269</v>
      </c>
      <c r="T62" s="5">
        <f>P46</f>
        <v>13</v>
      </c>
      <c r="U62" s="5" t="s">
        <v>270</v>
      </c>
      <c r="AB62" s="5" t="s">
        <v>1389</v>
      </c>
      <c r="AC62" s="5">
        <f>AC56*AC58</f>
        <v>2.4724999999999997</v>
      </c>
      <c r="AD62" s="5" t="s">
        <v>33</v>
      </c>
      <c r="AE62" s="36"/>
      <c r="AF62" s="5">
        <v>1</v>
      </c>
      <c r="AG62" s="5" t="s">
        <v>8</v>
      </c>
      <c r="AH62" s="7"/>
      <c r="AI62" s="5">
        <f>AI60*$C$10*10^-2</f>
        <v>1.25</v>
      </c>
      <c r="AJ62" s="5" t="s">
        <v>23</v>
      </c>
      <c r="AT62" s="5" t="s">
        <v>1243</v>
      </c>
      <c r="AU62" s="5">
        <f>AU50-(2*AU61)</f>
        <v>1.38</v>
      </c>
      <c r="AV62" s="5" t="s">
        <v>23</v>
      </c>
      <c r="AX62" s="48" t="s">
        <v>1390</v>
      </c>
      <c r="BA62" s="5" t="s">
        <v>1216</v>
      </c>
      <c r="BB62" s="5">
        <v>2</v>
      </c>
      <c r="BC62" s="5"/>
      <c r="BE62" s="5" t="str">
        <f t="shared" si="7"/>
        <v>6f (y)</v>
      </c>
      <c r="BF62" s="5">
        <f t="shared" si="8"/>
        <v>2.75</v>
      </c>
      <c r="BG62" s="5" t="s">
        <v>23</v>
      </c>
      <c r="BU62" s="5" t="s">
        <v>450</v>
      </c>
      <c r="BV62">
        <v>1</v>
      </c>
      <c r="BW62" t="s">
        <v>23</v>
      </c>
      <c r="CC62" s="7"/>
      <c r="CD62" s="5">
        <f>CD61/CD58</f>
        <v>2.2068999999999998E-2</v>
      </c>
      <c r="CE62" s="5" t="s">
        <v>494</v>
      </c>
    </row>
    <row r="63" spans="1:83" x14ac:dyDescent="0.25">
      <c r="A63" s="5" t="s">
        <v>897</v>
      </c>
      <c r="B63" s="5">
        <f>(B36*B58)+(B56*B59)+(B57*B60)</f>
        <v>12.232499999999998</v>
      </c>
      <c r="C63" s="5" t="s">
        <v>33</v>
      </c>
      <c r="D63" s="5" t="s">
        <v>1391</v>
      </c>
      <c r="E63" s="5">
        <v>2</v>
      </c>
      <c r="F63" s="5"/>
      <c r="G63" s="5" t="s">
        <v>1392</v>
      </c>
      <c r="H63" s="5">
        <f>H51*$C$10*10^-2</f>
        <v>0.55000000000000004</v>
      </c>
      <c r="I63" s="5" t="s">
        <v>23</v>
      </c>
      <c r="O63" s="5" t="s">
        <v>1393</v>
      </c>
      <c r="P63" s="5">
        <f>P62*P19*P20</f>
        <v>1.3720000000000003E-2</v>
      </c>
      <c r="Q63" s="5" t="s">
        <v>21</v>
      </c>
      <c r="S63" s="14" t="s">
        <v>1377</v>
      </c>
      <c r="T63" s="14">
        <f>P47</f>
        <v>1.0192000000000001</v>
      </c>
      <c r="U63" s="14" t="s">
        <v>21</v>
      </c>
      <c r="AB63" s="5" t="s">
        <v>1394</v>
      </c>
      <c r="AC63" s="5">
        <f>AC57*AC59</f>
        <v>1.7424999999999997</v>
      </c>
      <c r="AD63" s="5" t="s">
        <v>33</v>
      </c>
      <c r="AE63" s="36"/>
      <c r="AF63" s="5">
        <v>4.5</v>
      </c>
      <c r="AG63" s="5" t="s">
        <v>8</v>
      </c>
      <c r="AH63" s="43" t="s">
        <v>1306</v>
      </c>
      <c r="AI63" s="5">
        <f>AI61+AI62</f>
        <v>1.8</v>
      </c>
      <c r="AJ63" s="5" t="s">
        <v>23</v>
      </c>
      <c r="AT63" s="5" t="s">
        <v>1251</v>
      </c>
      <c r="AU63" s="5">
        <v>0.24</v>
      </c>
      <c r="AV63" s="5" t="s">
        <v>23</v>
      </c>
      <c r="AX63" s="5" t="s">
        <v>1395</v>
      </c>
      <c r="AY63" s="5">
        <f>18*10^-2</f>
        <v>0.18</v>
      </c>
      <c r="AZ63" s="5" t="s">
        <v>23</v>
      </c>
      <c r="BA63" s="2" t="s">
        <v>444</v>
      </c>
      <c r="BB63" s="5">
        <f>(BB58*BB39)+(BB59*BB40)+(BB60*BB41)+BB42+BB43+BB44+BB45+BB46+BB47+BB48+(BB61*BB49)+BB50+BB51+BB52+(BB53*BB62)+BB54+BB55+BB56</f>
        <v>127.35000000000002</v>
      </c>
      <c r="BC63" s="5" t="s">
        <v>23</v>
      </c>
      <c r="BE63" s="5" t="str">
        <f t="shared" si="7"/>
        <v>6g (g)</v>
      </c>
      <c r="BF63" s="5">
        <f t="shared" si="8"/>
        <v>1.6</v>
      </c>
      <c r="BG63" s="5" t="s">
        <v>23</v>
      </c>
      <c r="BU63" t="s">
        <v>1396</v>
      </c>
      <c r="BV63">
        <f>BV61-BV62</f>
        <v>1.75</v>
      </c>
      <c r="BW63" t="s">
        <v>23</v>
      </c>
      <c r="BY63" t="s">
        <v>1385</v>
      </c>
      <c r="BZ63">
        <f>BV61</f>
        <v>2.75</v>
      </c>
      <c r="CA63" t="s">
        <v>23</v>
      </c>
      <c r="CC63" s="37" t="s">
        <v>502</v>
      </c>
      <c r="CD63" s="5">
        <f>1295.5*10^-6</f>
        <v>1.2955E-3</v>
      </c>
      <c r="CE63" s="5" t="s">
        <v>119</v>
      </c>
    </row>
    <row r="64" spans="1:83" x14ac:dyDescent="0.25">
      <c r="A64" s="48" t="s">
        <v>606</v>
      </c>
      <c r="D64" s="5" t="s">
        <v>1397</v>
      </c>
      <c r="E64" s="5">
        <v>11</v>
      </c>
      <c r="F64" s="5"/>
      <c r="G64" s="5" t="s">
        <v>1229</v>
      </c>
      <c r="H64" s="5">
        <f t="shared" ref="H64:H65" si="10">H52*$C$10*10^-2</f>
        <v>1.55</v>
      </c>
      <c r="I64" s="5" t="s">
        <v>23</v>
      </c>
      <c r="O64" s="5" t="s">
        <v>1398</v>
      </c>
      <c r="P64" s="5">
        <v>13</v>
      </c>
      <c r="Q64" s="5"/>
      <c r="S64" s="27" t="s">
        <v>1399</v>
      </c>
      <c r="T64" s="5"/>
      <c r="U64" s="5"/>
      <c r="AB64" s="5" t="s">
        <v>367</v>
      </c>
      <c r="AC64" s="5">
        <f>(AC62*AC60)+(AC61*AC63)</f>
        <v>17.142499999999998</v>
      </c>
      <c r="AD64" s="5" t="s">
        <v>33</v>
      </c>
      <c r="AE64" s="36"/>
      <c r="AF64" s="5">
        <v>8.6</v>
      </c>
      <c r="AG64" s="5" t="s">
        <v>8</v>
      </c>
      <c r="AH64" s="5" t="s">
        <v>136</v>
      </c>
      <c r="AI64" s="5">
        <f>AI63*AC20</f>
        <v>4.95</v>
      </c>
      <c r="AJ64" s="5" t="s">
        <v>33</v>
      </c>
      <c r="AT64" s="5" t="s">
        <v>1260</v>
      </c>
      <c r="AU64" s="5">
        <f>AU62*AU58*AU63</f>
        <v>3.1463999999999999E-2</v>
      </c>
      <c r="AV64" s="5" t="s">
        <v>21</v>
      </c>
      <c r="AX64" s="5" t="s">
        <v>1400</v>
      </c>
      <c r="AY64" s="5">
        <f>AY63/2</f>
        <v>0.09</v>
      </c>
      <c r="AZ64" s="5" t="s">
        <v>23</v>
      </c>
      <c r="BA64" s="2" t="s">
        <v>1401</v>
      </c>
      <c r="BB64" s="5">
        <f>(BB58*BB39)+(BB49*BB61)+BB54</f>
        <v>81.850000000000009</v>
      </c>
      <c r="BC64" s="5" t="s">
        <v>23</v>
      </c>
      <c r="BE64" s="5" t="str">
        <f t="shared" si="7"/>
        <v>6h (y)</v>
      </c>
      <c r="BF64" s="5">
        <f t="shared" si="8"/>
        <v>1.2</v>
      </c>
      <c r="BG64" s="5" t="s">
        <v>23</v>
      </c>
      <c r="BY64" s="5" t="s">
        <v>450</v>
      </c>
      <c r="BZ64">
        <f>BV62</f>
        <v>1</v>
      </c>
      <c r="CA64" t="s">
        <v>23</v>
      </c>
      <c r="CC64" s="35"/>
      <c r="CD64" s="5">
        <f>CD63/CD58</f>
        <v>1.2955E-2</v>
      </c>
      <c r="CE64" s="5" t="s">
        <v>494</v>
      </c>
    </row>
    <row r="65" spans="1:83" x14ac:dyDescent="0.25">
      <c r="A65" s="5" t="s">
        <v>1080</v>
      </c>
      <c r="B65" s="5">
        <v>4.8</v>
      </c>
      <c r="C65" s="5" t="s">
        <v>8</v>
      </c>
      <c r="D65" s="5" t="s">
        <v>719</v>
      </c>
      <c r="E65" s="5">
        <f>(E62*E38)+(E63*E39)+(E64*E57)</f>
        <v>25.852499999999999</v>
      </c>
      <c r="F65" s="5" t="s">
        <v>33</v>
      </c>
      <c r="G65" s="5" t="s">
        <v>1239</v>
      </c>
      <c r="H65" s="5">
        <f t="shared" si="10"/>
        <v>0.27500000000000002</v>
      </c>
      <c r="I65" s="5" t="s">
        <v>23</v>
      </c>
      <c r="O65" s="5" t="s">
        <v>842</v>
      </c>
      <c r="P65" s="5">
        <v>2</v>
      </c>
      <c r="Q65" s="5"/>
      <c r="S65" s="5" t="s">
        <v>269</v>
      </c>
      <c r="T65" s="5">
        <f>P53</f>
        <v>13</v>
      </c>
      <c r="U65" s="5" t="s">
        <v>270</v>
      </c>
      <c r="AB65" s="6" t="s">
        <v>81</v>
      </c>
      <c r="AC65" s="4"/>
      <c r="AD65" s="2"/>
      <c r="AE65" s="36"/>
      <c r="AF65" s="5">
        <v>0.8</v>
      </c>
      <c r="AG65" s="5" t="s">
        <v>8</v>
      </c>
      <c r="AH65" s="5" t="s">
        <v>1317</v>
      </c>
      <c r="AI65" s="5">
        <v>2</v>
      </c>
      <c r="AJ65" s="5"/>
      <c r="AT65" s="14" t="s">
        <v>1402</v>
      </c>
      <c r="AU65" s="14">
        <f>AU64*AU55</f>
        <v>0.53488800000000003</v>
      </c>
      <c r="AV65" s="14" t="s">
        <v>21</v>
      </c>
      <c r="AX65" s="5" t="s">
        <v>1403</v>
      </c>
      <c r="AY65" s="5">
        <f>17*10^-2</f>
        <v>0.17</v>
      </c>
      <c r="AZ65" s="5" t="s">
        <v>23</v>
      </c>
      <c r="BA65" s="2" t="s">
        <v>1404</v>
      </c>
      <c r="BB65" s="5">
        <f>(BB40*BB59)+(BB41*BB60)+BB43+BB50+BB52+BB56</f>
        <v>21.95</v>
      </c>
      <c r="BC65" s="5" t="s">
        <v>23</v>
      </c>
      <c r="BE65" s="5" t="str">
        <f t="shared" si="7"/>
        <v>6i (g)</v>
      </c>
      <c r="BF65" s="5">
        <f t="shared" si="8"/>
        <v>1.8</v>
      </c>
      <c r="BG65" s="5" t="s">
        <v>23</v>
      </c>
      <c r="BU65" s="5" t="s">
        <v>1405</v>
      </c>
      <c r="BV65">
        <f>BV21+BV61+BV23+(BV25*2)+(BV63*2)+BV27+BV29+(BV63*2)+BV31+BV33+(BV63*2)+BV35+BV37+(2*BV63)+BV39+BV41+BV63+BV43+BV63+BV45+BV63+BV47+BV49+BV63+BV51+BV63+BV53+BV63+BV55+BV57+BV63+BV63+BV59</f>
        <v>58.800000000000004</v>
      </c>
      <c r="BW65" t="s">
        <v>23</v>
      </c>
      <c r="BY65" t="s">
        <v>1396</v>
      </c>
      <c r="BZ65">
        <f>BZ63-BZ64</f>
        <v>1.75</v>
      </c>
      <c r="CA65" t="s">
        <v>23</v>
      </c>
      <c r="CC65" s="14" t="s">
        <v>505</v>
      </c>
      <c r="CD65" s="14">
        <f>CD60*BZ69</f>
        <v>3.2771752499999995</v>
      </c>
      <c r="CE65" s="14" t="s">
        <v>119</v>
      </c>
    </row>
    <row r="66" spans="1:83" x14ac:dyDescent="0.25">
      <c r="A66" s="5" t="s">
        <v>673</v>
      </c>
      <c r="B66" s="5">
        <v>1.7</v>
      </c>
      <c r="C66" s="5" t="s">
        <v>8</v>
      </c>
      <c r="D66" s="5" t="s">
        <v>887</v>
      </c>
      <c r="E66" s="5">
        <f>(E64*E60)+(E41*E63)+(E62*E40)</f>
        <v>11.095000000000002</v>
      </c>
      <c r="F66" s="5" t="s">
        <v>33</v>
      </c>
      <c r="G66" s="5" t="s">
        <v>276</v>
      </c>
      <c r="H66" s="5">
        <f>(H63*H64*2)+(H63*H65*2)</f>
        <v>2.0075000000000003</v>
      </c>
      <c r="I66" s="5" t="s">
        <v>33</v>
      </c>
      <c r="O66" s="14" t="s">
        <v>1406</v>
      </c>
      <c r="P66" s="14">
        <f>P65*P64*P63</f>
        <v>0.35672000000000009</v>
      </c>
      <c r="Q66" s="14" t="s">
        <v>21</v>
      </c>
      <c r="S66" s="14" t="s">
        <v>1377</v>
      </c>
      <c r="T66" s="14">
        <f>P54</f>
        <v>4.8750000000000009E-2</v>
      </c>
      <c r="U66" s="14" t="s">
        <v>21</v>
      </c>
      <c r="AB66" s="5" t="s">
        <v>1121</v>
      </c>
      <c r="AC66" s="5">
        <f>AC50-AC64</f>
        <v>89.42</v>
      </c>
      <c r="AD66" t="s">
        <v>33</v>
      </c>
      <c r="AE66" s="36"/>
      <c r="AF66" s="5">
        <v>1.3</v>
      </c>
      <c r="AG66" s="5" t="s">
        <v>8</v>
      </c>
      <c r="AH66" s="5" t="s">
        <v>1324</v>
      </c>
      <c r="AI66" s="5">
        <f>AI64*AI65</f>
        <v>9.9</v>
      </c>
      <c r="AJ66" s="5" t="s">
        <v>33</v>
      </c>
      <c r="AT66" s="5" t="s">
        <v>1277</v>
      </c>
      <c r="AU66" s="5">
        <v>0.2</v>
      </c>
      <c r="AV66" s="5" t="s">
        <v>111</v>
      </c>
      <c r="AX66" s="5" t="s">
        <v>1407</v>
      </c>
      <c r="AY66" s="5">
        <f>AY60*AY63*AY65</f>
        <v>3.13497</v>
      </c>
      <c r="AZ66" s="5" t="s">
        <v>21</v>
      </c>
      <c r="BA66" s="2" t="s">
        <v>1408</v>
      </c>
      <c r="BB66" s="5">
        <f>BB42+BB44+BB45+BB46+BB47+BB48+BB51+(BB53*BB62)+BB55</f>
        <v>23.55</v>
      </c>
      <c r="BC66" s="5" t="s">
        <v>23</v>
      </c>
      <c r="BE66" s="5" t="str">
        <f t="shared" si="7"/>
        <v>6j (y)</v>
      </c>
      <c r="BF66" s="5">
        <f t="shared" si="8"/>
        <v>3.95</v>
      </c>
      <c r="BG66" s="5" t="s">
        <v>23</v>
      </c>
      <c r="BU66" t="s">
        <v>1409</v>
      </c>
      <c r="BV66">
        <f>(BV65*2)-(BV21*2)</f>
        <v>115.60000000000001</v>
      </c>
      <c r="BW66" t="s">
        <v>23</v>
      </c>
      <c r="CC66" s="14" t="s">
        <v>507</v>
      </c>
      <c r="CD66" s="14">
        <f>CD62*BZ69</f>
        <v>3.9117302499999997</v>
      </c>
      <c r="CE66" s="14" t="s">
        <v>119</v>
      </c>
    </row>
    <row r="67" spans="1:83" x14ac:dyDescent="0.25">
      <c r="A67" s="5" t="s">
        <v>13</v>
      </c>
      <c r="B67" s="5">
        <f>B65*$C$10*10^-2</f>
        <v>2.4</v>
      </c>
      <c r="C67" s="5" t="s">
        <v>23</v>
      </c>
      <c r="D67" s="5" t="s">
        <v>897</v>
      </c>
      <c r="E67" s="5">
        <f>(E64*E61)+(E63*E43)+(E62*E42)</f>
        <v>14.757499999999999</v>
      </c>
      <c r="F67" s="5" t="s">
        <v>33</v>
      </c>
      <c r="G67" s="5" t="s">
        <v>178</v>
      </c>
      <c r="H67" s="5">
        <f>H59-H66</f>
        <v>0.91749999999999954</v>
      </c>
      <c r="I67" s="5" t="s">
        <v>33</v>
      </c>
      <c r="O67" s="5" t="s">
        <v>1410</v>
      </c>
      <c r="P67" s="5">
        <v>3.9</v>
      </c>
      <c r="Q67" s="5" t="s">
        <v>8</v>
      </c>
      <c r="S67" s="27" t="s">
        <v>1411</v>
      </c>
      <c r="T67" s="5"/>
      <c r="U67" s="5"/>
      <c r="AB67" s="5" t="s">
        <v>890</v>
      </c>
      <c r="AC67" s="5">
        <f>AC66/$F$9</f>
        <v>5870.5357142857138</v>
      </c>
      <c r="AD67" s="11"/>
      <c r="AE67" s="7"/>
      <c r="AF67" s="5">
        <v>2.2999999999999998</v>
      </c>
      <c r="AG67" s="5" t="s">
        <v>8</v>
      </c>
      <c r="AH67" s="40" t="s">
        <v>1071</v>
      </c>
      <c r="AJ67" s="44"/>
      <c r="AT67" s="14" t="s">
        <v>771</v>
      </c>
      <c r="AU67" s="14">
        <f>AU66*(AU61*2)*AU54</f>
        <v>6.6000000000000003E-2</v>
      </c>
      <c r="AV67" s="14" t="s">
        <v>21</v>
      </c>
      <c r="AX67" s="5" t="s">
        <v>1412</v>
      </c>
      <c r="AY67" s="5">
        <f>AY61*AY64*AY65</f>
        <v>0.7198650000000002</v>
      </c>
      <c r="AZ67" s="5" t="s">
        <v>21</v>
      </c>
      <c r="BA67" s="48" t="s">
        <v>1390</v>
      </c>
      <c r="BE67" s="5" t="str">
        <f t="shared" si="7"/>
        <v>6k (y)</v>
      </c>
      <c r="BF67" s="5">
        <f t="shared" si="8"/>
        <v>3.95</v>
      </c>
      <c r="BG67" s="5" t="s">
        <v>23</v>
      </c>
      <c r="BY67" s="5" t="s">
        <v>1405</v>
      </c>
      <c r="BZ67">
        <f>BZ63+BZ21+BZ23+BZ25+(BZ65*2)+BZ27+BZ29+(BZ65*2)+BZ31+BZ33+(BZ65*2)+BZ37+BZ35+(2*BZ65)+BZ39+BZ41+(2*BZ65)+BZ43+BZ65+BZ45+BZ47+BZ49+(2*BZ65)+BZ51+BZ53+(2*BZ65)+BZ55+BZ57+BZ59+(2*BZ65)+BZ61</f>
        <v>61.650000000000006</v>
      </c>
      <c r="CA67" t="s">
        <v>23</v>
      </c>
      <c r="CC67" s="14" t="s">
        <v>509</v>
      </c>
      <c r="CD67" s="14">
        <f>CD64*BZ69</f>
        <v>2.2962737500000001</v>
      </c>
      <c r="CE67" s="14" t="s">
        <v>119</v>
      </c>
    </row>
    <row r="68" spans="1:83" x14ac:dyDescent="0.25">
      <c r="A68" s="5" t="s">
        <v>420</v>
      </c>
      <c r="B68" s="5">
        <f>B66*$C$10*10^-2</f>
        <v>0.85</v>
      </c>
      <c r="C68" s="5" t="s">
        <v>23</v>
      </c>
      <c r="D68" s="48" t="s">
        <v>606</v>
      </c>
      <c r="G68" s="5" t="s">
        <v>609</v>
      </c>
      <c r="H68" s="5">
        <v>4</v>
      </c>
      <c r="I68" s="5"/>
      <c r="O68" s="5" t="s">
        <v>1413</v>
      </c>
      <c r="P68" s="5">
        <f>(P67*50)*10^-2</f>
        <v>1.95</v>
      </c>
      <c r="Q68" s="5" t="s">
        <v>23</v>
      </c>
      <c r="S68" s="5" t="s">
        <v>269</v>
      </c>
      <c r="T68" s="5">
        <f>P58*P59</f>
        <v>26</v>
      </c>
      <c r="U68" s="5" t="s">
        <v>270</v>
      </c>
      <c r="AB68" s="14" t="s">
        <v>513</v>
      </c>
      <c r="AC68" s="5">
        <f>AC67*$F$11</f>
        <v>14676.339285714284</v>
      </c>
      <c r="AD68" s="11" t="s">
        <v>119</v>
      </c>
      <c r="AE68" s="9" t="s">
        <v>1222</v>
      </c>
      <c r="AF68" s="5">
        <f t="shared" ref="AF68:AF97" si="11">AF38*$C$10*10^-2</f>
        <v>3.65</v>
      </c>
      <c r="AG68" s="5" t="s">
        <v>23</v>
      </c>
      <c r="AH68" s="5" t="s">
        <v>1085</v>
      </c>
      <c r="AI68" s="5">
        <v>0.8</v>
      </c>
      <c r="AJ68" s="5" t="s">
        <v>8</v>
      </c>
      <c r="BA68" t="s">
        <v>1401</v>
      </c>
      <c r="BE68" s="5" t="str">
        <f t="shared" si="7"/>
        <v>5 (g)</v>
      </c>
      <c r="BF68" s="5">
        <f t="shared" si="8"/>
        <v>4.3</v>
      </c>
      <c r="BG68" s="5" t="s">
        <v>23</v>
      </c>
    </row>
    <row r="69" spans="1:83" x14ac:dyDescent="0.25">
      <c r="A69" s="5" t="s">
        <v>188</v>
      </c>
      <c r="B69" s="5">
        <f>B67*B68</f>
        <v>2.04</v>
      </c>
      <c r="C69" s="5" t="s">
        <v>33</v>
      </c>
      <c r="D69" s="5" t="s">
        <v>1080</v>
      </c>
      <c r="E69" s="5">
        <v>4.5999999999999996</v>
      </c>
      <c r="F69" s="5" t="s">
        <v>8</v>
      </c>
      <c r="G69" s="5" t="s">
        <v>647</v>
      </c>
      <c r="H69" s="5">
        <f>H66*H68</f>
        <v>8.0300000000000011</v>
      </c>
      <c r="I69" s="5" t="s">
        <v>33</v>
      </c>
      <c r="O69" s="5" t="s">
        <v>1414</v>
      </c>
      <c r="P69" s="5">
        <v>3</v>
      </c>
      <c r="Q69" s="5" t="s">
        <v>8</v>
      </c>
      <c r="S69" s="14" t="s">
        <v>1415</v>
      </c>
      <c r="T69" s="14">
        <f>P60</f>
        <v>0.66248000000000018</v>
      </c>
      <c r="U69" s="14" t="s">
        <v>21</v>
      </c>
      <c r="AB69" s="5" t="s">
        <v>128</v>
      </c>
      <c r="AC69" s="5">
        <f>AC67*($F$9-$F$8)</f>
        <v>17.141964285714277</v>
      </c>
      <c r="AD69" s="11" t="s">
        <v>33</v>
      </c>
      <c r="AE69" s="36"/>
      <c r="AF69" s="5">
        <f t="shared" si="11"/>
        <v>1.1499999999999999</v>
      </c>
      <c r="AG69" s="5" t="s">
        <v>23</v>
      </c>
      <c r="AH69" s="5" t="s">
        <v>7</v>
      </c>
      <c r="AI69" s="5">
        <f>AI68*$C$10*10^-2</f>
        <v>0.4</v>
      </c>
      <c r="AJ69" s="5" t="s">
        <v>23</v>
      </c>
      <c r="AT69" s="14" t="s">
        <v>1295</v>
      </c>
      <c r="AU69" s="14">
        <f>AU67+AU60+AU65</f>
        <v>0.96141300000000007</v>
      </c>
      <c r="AV69" s="14" t="s">
        <v>21</v>
      </c>
      <c r="BA69" s="5" t="s">
        <v>13</v>
      </c>
      <c r="BB69" s="5">
        <f>20*10^-2</f>
        <v>0.2</v>
      </c>
      <c r="BC69" s="5" t="s">
        <v>23</v>
      </c>
      <c r="BE69" s="5" t="str">
        <f t="shared" si="7"/>
        <v>4a (y)</v>
      </c>
      <c r="BF69" s="5">
        <f t="shared" si="8"/>
        <v>3.5500000000000003</v>
      </c>
      <c r="BG69" s="5" t="s">
        <v>23</v>
      </c>
      <c r="BY69" s="17" t="s">
        <v>1416</v>
      </c>
      <c r="BZ69" s="17">
        <f>BZ67+BV66</f>
        <v>177.25</v>
      </c>
      <c r="CA69" s="17" t="s">
        <v>23</v>
      </c>
    </row>
    <row r="70" spans="1:83" x14ac:dyDescent="0.25">
      <c r="A70" s="48" t="s">
        <v>81</v>
      </c>
      <c r="D70" s="5" t="s">
        <v>673</v>
      </c>
      <c r="E70" s="5">
        <v>2.7</v>
      </c>
      <c r="F70" s="5" t="s">
        <v>8</v>
      </c>
      <c r="G70" s="5" t="s">
        <v>1417</v>
      </c>
      <c r="H70" s="5">
        <f>H67*H68</f>
        <v>3.6699999999999982</v>
      </c>
      <c r="I70" s="5" t="s">
        <v>33</v>
      </c>
      <c r="O70" s="5" t="s">
        <v>1418</v>
      </c>
      <c r="P70" s="5">
        <f>(P69*50)*10^-2</f>
        <v>1.5</v>
      </c>
      <c r="Q70" s="5" t="s">
        <v>23</v>
      </c>
      <c r="S70" s="27" t="s">
        <v>1419</v>
      </c>
      <c r="T70" s="5"/>
      <c r="U70" s="5"/>
      <c r="AB70" s="5" t="s">
        <v>138</v>
      </c>
      <c r="AC70" s="5">
        <f>AC69*(($F$4)*10^-2)</f>
        <v>1.8513321428571421</v>
      </c>
      <c r="AD70" s="11" t="s">
        <v>21</v>
      </c>
      <c r="AE70" s="36"/>
      <c r="AF70" s="5">
        <f t="shared" si="11"/>
        <v>0.65</v>
      </c>
      <c r="AG70" s="5" t="s">
        <v>23</v>
      </c>
      <c r="AH70" s="5" t="s">
        <v>136</v>
      </c>
      <c r="AI70" s="5">
        <f>AI69*AI21</f>
        <v>0.7400000000000001</v>
      </c>
      <c r="AJ70" s="5" t="s">
        <v>33</v>
      </c>
      <c r="BA70" s="5" t="s">
        <v>7</v>
      </c>
      <c r="BB70" s="5">
        <f>21*10^-2</f>
        <v>0.21</v>
      </c>
      <c r="BC70" s="5" t="s">
        <v>23</v>
      </c>
      <c r="BE70" s="5" t="str">
        <f t="shared" si="7"/>
        <v>4b (g)</v>
      </c>
      <c r="BF70" s="5">
        <f t="shared" si="8"/>
        <v>0.85</v>
      </c>
      <c r="BG70" s="5" t="s">
        <v>23</v>
      </c>
      <c r="BZ70">
        <f>BZ69/B129</f>
        <v>0.74136038061379206</v>
      </c>
      <c r="CA70" t="s">
        <v>739</v>
      </c>
      <c r="CD70">
        <f>CD65/B129</f>
        <v>1.3707012077168398E-2</v>
      </c>
    </row>
    <row r="71" spans="1:83" x14ac:dyDescent="0.25">
      <c r="A71" s="5" t="s">
        <v>611</v>
      </c>
      <c r="B71" s="5">
        <f>B23-B61-B69</f>
        <v>67.879999999999981</v>
      </c>
      <c r="C71" s="5" t="s">
        <v>33</v>
      </c>
      <c r="D71" s="5" t="s">
        <v>13</v>
      </c>
      <c r="E71" s="5">
        <f>E69*$C$10*10^-2</f>
        <v>2.2999999999999998</v>
      </c>
      <c r="F71" s="5" t="s">
        <v>23</v>
      </c>
      <c r="G71" s="5" t="s">
        <v>1420</v>
      </c>
      <c r="H71" s="5">
        <f>(4*H50)+(4*H55)</f>
        <v>8.58</v>
      </c>
      <c r="I71" s="5" t="s">
        <v>33</v>
      </c>
      <c r="O71" s="5" t="s">
        <v>1421</v>
      </c>
      <c r="P71" s="5">
        <v>5.5</v>
      </c>
      <c r="Q71" s="5" t="s">
        <v>8</v>
      </c>
      <c r="S71" s="5" t="s">
        <v>269</v>
      </c>
      <c r="T71" s="5">
        <f>P64*P65</f>
        <v>26</v>
      </c>
      <c r="U71" s="5" t="s">
        <v>270</v>
      </c>
      <c r="AB71" s="14" t="s">
        <v>150</v>
      </c>
      <c r="AC71" s="5">
        <f>AC70*$F$12</f>
        <v>3147.2646428571416</v>
      </c>
      <c r="AD71" s="11" t="s">
        <v>119</v>
      </c>
      <c r="AE71" s="36"/>
      <c r="AF71" s="5">
        <f t="shared" si="11"/>
        <v>0.65</v>
      </c>
      <c r="AG71" s="5" t="s">
        <v>23</v>
      </c>
      <c r="AH71" s="5" t="s">
        <v>1075</v>
      </c>
      <c r="AI71" s="5">
        <v>2</v>
      </c>
      <c r="AJ71" s="5"/>
      <c r="AT71" s="14" t="s">
        <v>1422</v>
      </c>
      <c r="AU71" s="14">
        <f>AU69+AU44</f>
        <v>2.5454460000000001</v>
      </c>
      <c r="AV71" s="14" t="s">
        <v>21</v>
      </c>
      <c r="BA71" t="s">
        <v>1423</v>
      </c>
      <c r="BE71" s="5" t="str">
        <f t="shared" si="7"/>
        <v>4c (y)</v>
      </c>
      <c r="BF71" s="5">
        <f t="shared" si="8"/>
        <v>3.5500000000000003</v>
      </c>
      <c r="BG71" s="5" t="s">
        <v>23</v>
      </c>
      <c r="CD71">
        <f>CD70*2.4</f>
        <v>3.289682898520415E-2</v>
      </c>
    </row>
    <row r="72" spans="1:83" x14ac:dyDescent="0.25">
      <c r="A72" s="5" t="s">
        <v>890</v>
      </c>
      <c r="B72" s="5">
        <f>B71/$F$9</f>
        <v>4456.4075630252082</v>
      </c>
      <c r="C72" s="5"/>
      <c r="D72" s="5" t="s">
        <v>420</v>
      </c>
      <c r="E72" s="5">
        <f>E70*$C$10*10^-2</f>
        <v>1.35</v>
      </c>
      <c r="F72" s="5" t="s">
        <v>23</v>
      </c>
      <c r="G72" s="5" t="s">
        <v>890</v>
      </c>
      <c r="H72" s="5">
        <f>H71/$F$9</f>
        <v>563.28781512605042</v>
      </c>
      <c r="I72" s="5"/>
      <c r="O72" s="5" t="s">
        <v>1424</v>
      </c>
      <c r="P72" s="5">
        <f>(P71*50)*10^-2</f>
        <v>2.75</v>
      </c>
      <c r="Q72" s="5" t="s">
        <v>23</v>
      </c>
      <c r="S72" s="14" t="s">
        <v>1415</v>
      </c>
      <c r="T72" s="14">
        <f>P66</f>
        <v>0.35672000000000009</v>
      </c>
      <c r="U72" s="14" t="s">
        <v>21</v>
      </c>
      <c r="AB72" s="6" t="s">
        <v>665</v>
      </c>
      <c r="AC72" s="4"/>
      <c r="AD72" s="4"/>
      <c r="AE72" s="36"/>
      <c r="AF72" s="5">
        <f t="shared" si="11"/>
        <v>0.5</v>
      </c>
      <c r="AG72" s="5" t="s">
        <v>23</v>
      </c>
      <c r="AH72" s="5" t="s">
        <v>367</v>
      </c>
      <c r="AI72" s="5">
        <f>AI70*AI71</f>
        <v>1.4800000000000002</v>
      </c>
      <c r="AJ72" s="5" t="s">
        <v>33</v>
      </c>
      <c r="BA72" s="5" t="s">
        <v>7</v>
      </c>
      <c r="BB72" s="5">
        <f>BB70/2</f>
        <v>0.105</v>
      </c>
      <c r="BC72" s="5" t="s">
        <v>23</v>
      </c>
      <c r="BE72" s="5" t="str">
        <f t="shared" si="7"/>
        <v xml:space="preserve">4d (y) </v>
      </c>
      <c r="BF72" s="5">
        <f t="shared" si="8"/>
        <v>2</v>
      </c>
      <c r="BG72" s="5" t="s">
        <v>23</v>
      </c>
      <c r="CD72">
        <f>CD71*10^3</f>
        <v>32.896828985204152</v>
      </c>
      <c r="CE72" t="s">
        <v>1425</v>
      </c>
    </row>
    <row r="73" spans="1:83" x14ac:dyDescent="0.25">
      <c r="A73" s="14" t="s">
        <v>513</v>
      </c>
      <c r="B73" s="5">
        <f>B72*$F$11</f>
        <v>11141.018907563021</v>
      </c>
      <c r="C73" s="5" t="s">
        <v>119</v>
      </c>
      <c r="D73" s="5" t="s">
        <v>188</v>
      </c>
      <c r="E73" s="5">
        <f>E71*E72</f>
        <v>3.105</v>
      </c>
      <c r="F73" s="5" t="s">
        <v>33</v>
      </c>
      <c r="G73" s="14" t="s">
        <v>513</v>
      </c>
      <c r="H73" s="5">
        <f>H72*$F$11</f>
        <v>1408.2195378151259</v>
      </c>
      <c r="I73" s="5" t="s">
        <v>119</v>
      </c>
      <c r="O73" s="5" t="s">
        <v>1426</v>
      </c>
      <c r="P73" s="5">
        <f>P72/2</f>
        <v>1.375</v>
      </c>
      <c r="Q73" s="5" t="s">
        <v>23</v>
      </c>
      <c r="S73" s="27" t="s">
        <v>1427</v>
      </c>
      <c r="T73" s="5"/>
      <c r="U73" s="5"/>
      <c r="AB73" s="5" t="s">
        <v>165</v>
      </c>
      <c r="AC73" s="5">
        <v>15</v>
      </c>
      <c r="AD73" s="11" t="s">
        <v>210</v>
      </c>
      <c r="AE73" s="36"/>
      <c r="AF73" s="5">
        <f t="shared" si="11"/>
        <v>3.95</v>
      </c>
      <c r="AG73" s="5" t="s">
        <v>23</v>
      </c>
      <c r="AH73" s="5" t="s">
        <v>1359</v>
      </c>
      <c r="AI73" s="5">
        <f>AI66-AI72</f>
        <v>8.42</v>
      </c>
      <c r="AJ73" s="5" t="s">
        <v>33</v>
      </c>
      <c r="BA73" t="s">
        <v>1408</v>
      </c>
      <c r="BE73" s="5" t="str">
        <f t="shared" si="7"/>
        <v>4e (y)</v>
      </c>
      <c r="BF73" s="5">
        <f t="shared" si="8"/>
        <v>2</v>
      </c>
      <c r="BG73" s="5" t="s">
        <v>23</v>
      </c>
      <c r="CD73">
        <f>CD72/(E129*G129)</f>
        <v>1.6055065390533991</v>
      </c>
      <c r="CE73" t="s">
        <v>1428</v>
      </c>
    </row>
    <row r="74" spans="1:83" x14ac:dyDescent="0.25">
      <c r="A74" s="5" t="s">
        <v>128</v>
      </c>
      <c r="B74" s="5">
        <f>B72*($F$9-$F$8)</f>
        <v>13.012710084033603</v>
      </c>
      <c r="C74" s="5" t="s">
        <v>33</v>
      </c>
      <c r="G74" s="5" t="s">
        <v>128</v>
      </c>
      <c r="H74" s="5">
        <f>H72*($F$9-$F$8)</f>
        <v>1.6448004201680666</v>
      </c>
      <c r="I74" s="5" t="s">
        <v>33</v>
      </c>
      <c r="O74" s="5" t="s">
        <v>1429</v>
      </c>
      <c r="P74" s="5">
        <v>2.5</v>
      </c>
      <c r="Q74" s="5" t="s">
        <v>8</v>
      </c>
      <c r="S74" s="5" t="s">
        <v>269</v>
      </c>
      <c r="T74" s="5">
        <v>8</v>
      </c>
      <c r="U74" s="5" t="s">
        <v>270</v>
      </c>
      <c r="AB74" s="5" t="s">
        <v>685</v>
      </c>
      <c r="AC74" s="5">
        <v>2</v>
      </c>
      <c r="AD74" s="11"/>
      <c r="AE74" s="36"/>
      <c r="AF74" s="5">
        <f t="shared" si="11"/>
        <v>8.65</v>
      </c>
      <c r="AG74" s="5" t="s">
        <v>23</v>
      </c>
      <c r="AH74" s="5" t="s">
        <v>679</v>
      </c>
      <c r="AI74" s="5">
        <f>AI73*AI40</f>
        <v>0.42100000000000004</v>
      </c>
      <c r="AJ74" s="5" t="s">
        <v>21</v>
      </c>
      <c r="BA74" s="5" t="s">
        <v>7</v>
      </c>
      <c r="BB74" s="5">
        <f>BB72</f>
        <v>0.105</v>
      </c>
      <c r="BC74" s="5" t="s">
        <v>23</v>
      </c>
      <c r="BE74" s="5" t="str">
        <f t="shared" si="7"/>
        <v>4f (g)</v>
      </c>
      <c r="BF74" s="5">
        <f t="shared" si="8"/>
        <v>1.6500000000000001</v>
      </c>
      <c r="BG74" s="5" t="s">
        <v>23</v>
      </c>
    </row>
    <row r="75" spans="1:83" x14ac:dyDescent="0.25">
      <c r="A75" s="5" t="s">
        <v>138</v>
      </c>
      <c r="B75" s="5">
        <f>B74*(($F$4)*10^-2)</f>
        <v>1.4053726890756293</v>
      </c>
      <c r="C75" s="5" t="s">
        <v>21</v>
      </c>
      <c r="G75" s="5" t="s">
        <v>138</v>
      </c>
      <c r="H75" s="5">
        <f>H74*(($F$4)*10^-2)</f>
        <v>0.17763844537815121</v>
      </c>
      <c r="I75" s="5" t="s">
        <v>21</v>
      </c>
      <c r="O75" s="5" t="s">
        <v>1430</v>
      </c>
      <c r="P75" s="5">
        <f>(P74*50)*10^-2</f>
        <v>1.25</v>
      </c>
      <c r="Q75" s="5"/>
      <c r="S75" s="14" t="s">
        <v>1431</v>
      </c>
      <c r="T75" s="14">
        <f>P37</f>
        <v>0.29792000000000013</v>
      </c>
      <c r="U75" s="14" t="s">
        <v>21</v>
      </c>
      <c r="AB75" s="5" t="s">
        <v>138</v>
      </c>
      <c r="AC75" s="5">
        <f>(AC73*10^-3)*AC66*AC74</f>
        <v>2.6825999999999999</v>
      </c>
      <c r="AD75" s="11" t="s">
        <v>21</v>
      </c>
      <c r="AE75" s="36"/>
      <c r="AF75" s="5">
        <f t="shared" si="11"/>
        <v>3.0500000000000003</v>
      </c>
      <c r="AG75" s="5" t="s">
        <v>23</v>
      </c>
      <c r="AH75" s="36" t="s">
        <v>1432</v>
      </c>
      <c r="BA75" s="48" t="s">
        <v>205</v>
      </c>
      <c r="BE75" s="5" t="str">
        <f t="shared" si="7"/>
        <v>4g (g)</v>
      </c>
      <c r="BF75" s="5">
        <f t="shared" si="8"/>
        <v>1.6500000000000001</v>
      </c>
      <c r="BG75" s="5" t="s">
        <v>23</v>
      </c>
    </row>
    <row r="76" spans="1:83" x14ac:dyDescent="0.25">
      <c r="A76" s="20" t="s">
        <v>150</v>
      </c>
      <c r="B76" s="9">
        <f>B75*$F$12</f>
        <v>2389.1335714285697</v>
      </c>
      <c r="C76" s="9" t="s">
        <v>119</v>
      </c>
      <c r="G76" s="20" t="s">
        <v>150</v>
      </c>
      <c r="H76" s="9">
        <f>H75*$F$12</f>
        <v>301.98535714285708</v>
      </c>
      <c r="I76" s="9" t="s">
        <v>119</v>
      </c>
      <c r="O76" s="5" t="s">
        <v>1433</v>
      </c>
      <c r="P76" s="5">
        <f>SQRT((P73^2)+(P75^2))</f>
        <v>1.8582585934148133</v>
      </c>
      <c r="Q76" s="5" t="s">
        <v>23</v>
      </c>
      <c r="S76" s="5" t="s">
        <v>1434</v>
      </c>
      <c r="T76" s="5"/>
      <c r="U76" s="5"/>
      <c r="AB76" s="5" t="s">
        <v>281</v>
      </c>
      <c r="AC76" s="5">
        <f>AC75*$F$12</f>
        <v>4560.42</v>
      </c>
      <c r="AD76" s="11" t="s">
        <v>119</v>
      </c>
      <c r="AE76" s="36"/>
      <c r="AF76" s="5">
        <f t="shared" si="11"/>
        <v>2.4500000000000002</v>
      </c>
      <c r="AG76" s="5" t="s">
        <v>23</v>
      </c>
      <c r="AH76" s="5" t="s">
        <v>1259</v>
      </c>
      <c r="AI76" s="5">
        <v>0.2</v>
      </c>
      <c r="AJ76" s="5" t="s">
        <v>8</v>
      </c>
      <c r="BA76" s="5" t="s">
        <v>1401</v>
      </c>
      <c r="BB76" s="5">
        <f>BB64*BB69*BB70</f>
        <v>3.4377</v>
      </c>
      <c r="BC76" s="5" t="s">
        <v>21</v>
      </c>
      <c r="BE76" s="5" t="str">
        <f t="shared" si="7"/>
        <v>4h (y)</v>
      </c>
      <c r="BF76" s="5">
        <f t="shared" si="8"/>
        <v>0.4</v>
      </c>
      <c r="BG76" s="5" t="s">
        <v>23</v>
      </c>
    </row>
    <row r="77" spans="1:83" x14ac:dyDescent="0.25">
      <c r="A77" s="17"/>
      <c r="G77" s="6" t="s">
        <v>242</v>
      </c>
      <c r="H77" s="4"/>
      <c r="I77" s="2"/>
      <c r="O77" s="5" t="s">
        <v>1435</v>
      </c>
      <c r="P77" s="5">
        <v>1</v>
      </c>
      <c r="Q77" s="5" t="s">
        <v>8</v>
      </c>
      <c r="S77" s="5" t="s">
        <v>12</v>
      </c>
      <c r="T77" s="5">
        <f>B11</f>
        <v>12.950000000000001</v>
      </c>
      <c r="U77" s="5" t="s">
        <v>21</v>
      </c>
      <c r="AE77" s="36"/>
      <c r="AF77" s="5">
        <f t="shared" si="11"/>
        <v>3.95</v>
      </c>
      <c r="AG77" s="5" t="s">
        <v>23</v>
      </c>
      <c r="AH77" s="5" t="s">
        <v>165</v>
      </c>
      <c r="AI77" s="5">
        <f>AI76*$C$10*10^-2</f>
        <v>0.1</v>
      </c>
      <c r="AJ77" s="5" t="s">
        <v>23</v>
      </c>
      <c r="BA77" s="5" t="s">
        <v>1404</v>
      </c>
      <c r="BB77" s="5">
        <f>BB65*BB72*BB69</f>
        <v>0.46094999999999997</v>
      </c>
      <c r="BC77" s="5" t="s">
        <v>21</v>
      </c>
      <c r="BE77" s="5" t="str">
        <f t="shared" si="7"/>
        <v>4i (y)</v>
      </c>
      <c r="BF77" s="5">
        <f t="shared" si="8"/>
        <v>0.4</v>
      </c>
      <c r="BG77" s="5" t="s">
        <v>23</v>
      </c>
    </row>
    <row r="78" spans="1:83" x14ac:dyDescent="0.25">
      <c r="G78" s="14" t="s">
        <v>513</v>
      </c>
      <c r="H78" s="5">
        <f>B73+H22+H43+H73+H33+L24</f>
        <v>66142.516576943264</v>
      </c>
      <c r="I78" s="5" t="s">
        <v>119</v>
      </c>
      <c r="O78" s="5" t="s">
        <v>1436</v>
      </c>
      <c r="P78" s="5">
        <f>(P77*50)*10^-2</f>
        <v>0.5</v>
      </c>
      <c r="Q78" s="5" t="s">
        <v>23</v>
      </c>
      <c r="S78" s="5" t="s">
        <v>1437</v>
      </c>
      <c r="T78" s="5">
        <f>T77*P19*P20</f>
        <v>0.2538200000000001</v>
      </c>
      <c r="U78" s="5" t="s">
        <v>21</v>
      </c>
      <c r="AE78" s="36"/>
      <c r="AF78" s="5">
        <f t="shared" si="11"/>
        <v>0.15</v>
      </c>
      <c r="AG78" s="5" t="s">
        <v>23</v>
      </c>
      <c r="AH78" s="5" t="s">
        <v>1438</v>
      </c>
      <c r="AI78" s="5">
        <v>5.0999999999999996</v>
      </c>
      <c r="AJ78" s="5" t="s">
        <v>8</v>
      </c>
      <c r="BA78" s="5" t="s">
        <v>1408</v>
      </c>
      <c r="BB78" s="5">
        <f>BB66*BB74*BB69</f>
        <v>0.49455000000000005</v>
      </c>
      <c r="BC78" s="5" t="s">
        <v>21</v>
      </c>
      <c r="BE78" s="5" t="str">
        <f t="shared" si="7"/>
        <v>4j (g)</v>
      </c>
      <c r="BF78" s="5">
        <f t="shared" si="8"/>
        <v>0.5</v>
      </c>
      <c r="BG78" s="5" t="s">
        <v>23</v>
      </c>
    </row>
    <row r="79" spans="1:83" x14ac:dyDescent="0.25">
      <c r="G79" s="14" t="s">
        <v>150</v>
      </c>
      <c r="H79" s="5">
        <f>B76+H25+H46+H76+H36+L27</f>
        <v>14183.91873883928</v>
      </c>
      <c r="I79" s="5" t="s">
        <v>119</v>
      </c>
      <c r="O79" s="5" t="s">
        <v>1439</v>
      </c>
      <c r="P79" s="5">
        <v>25</v>
      </c>
      <c r="Q79" s="5" t="s">
        <v>8</v>
      </c>
      <c r="S79" s="5" t="s">
        <v>1440</v>
      </c>
      <c r="T79" s="5">
        <v>2</v>
      </c>
      <c r="U79" s="5" t="s">
        <v>270</v>
      </c>
      <c r="AE79" s="36"/>
      <c r="AF79" s="5">
        <f t="shared" si="11"/>
        <v>0.65</v>
      </c>
      <c r="AG79" s="5" t="s">
        <v>23</v>
      </c>
      <c r="AH79" s="5" t="s">
        <v>54</v>
      </c>
      <c r="AI79" s="5">
        <f>AI78*$C$10*10^-2</f>
        <v>2.5499999999999998</v>
      </c>
      <c r="AJ79" s="5" t="s">
        <v>23</v>
      </c>
      <c r="BA79" s="5" t="s">
        <v>679</v>
      </c>
      <c r="BB79" s="5">
        <f>SUM(BB76:BB78)</f>
        <v>4.3932000000000002</v>
      </c>
      <c r="BC79" s="5" t="s">
        <v>21</v>
      </c>
    </row>
    <row r="80" spans="1:83" x14ac:dyDescent="0.25">
      <c r="G80" s="5" t="s">
        <v>157</v>
      </c>
      <c r="H80" s="5">
        <f>B62+E66+H69</f>
        <v>35.122500000000002</v>
      </c>
      <c r="I80" s="5" t="s">
        <v>33</v>
      </c>
      <c r="O80" s="9" t="s">
        <v>1441</v>
      </c>
      <c r="P80" s="9">
        <f>(P79*50)*10^-2</f>
        <v>12.5</v>
      </c>
      <c r="Q80" s="9" t="s">
        <v>23</v>
      </c>
      <c r="S80" s="14" t="s">
        <v>1442</v>
      </c>
      <c r="T80" s="14">
        <f>T79*T78</f>
        <v>0.5076400000000002</v>
      </c>
      <c r="U80" s="14" t="s">
        <v>21</v>
      </c>
      <c r="AE80" s="36"/>
      <c r="AF80" s="5">
        <f t="shared" si="11"/>
        <v>0.65</v>
      </c>
      <c r="AG80" s="5" t="s">
        <v>23</v>
      </c>
      <c r="AH80" s="5" t="s">
        <v>1103</v>
      </c>
      <c r="AI80" s="5">
        <f>AI79*AF37</f>
        <v>6.2474999999999996</v>
      </c>
      <c r="AJ80" s="5" t="s">
        <v>33</v>
      </c>
      <c r="BE80" s="27" t="s">
        <v>1443</v>
      </c>
      <c r="BF80" s="5"/>
      <c r="BG80" s="5"/>
    </row>
    <row r="81" spans="7:59" x14ac:dyDescent="0.25">
      <c r="G81" s="50" t="s">
        <v>295</v>
      </c>
      <c r="H81">
        <f>H80*J3*J4</f>
        <v>365.27399999999994</v>
      </c>
      <c r="I81" s="44" t="s">
        <v>119</v>
      </c>
      <c r="O81" s="5" t="s">
        <v>1444</v>
      </c>
      <c r="P81" s="5">
        <v>6.2</v>
      </c>
      <c r="Q81" s="5" t="s">
        <v>8</v>
      </c>
      <c r="AE81" s="36"/>
      <c r="AF81" s="5">
        <f t="shared" si="11"/>
        <v>1.25</v>
      </c>
      <c r="AG81" s="5" t="s">
        <v>23</v>
      </c>
      <c r="AH81" s="5" t="s">
        <v>188</v>
      </c>
      <c r="AI81" s="5">
        <f>AI24</f>
        <v>1.5725</v>
      </c>
      <c r="AJ81" s="5" t="s">
        <v>33</v>
      </c>
      <c r="BE81" s="5" t="s">
        <v>1445</v>
      </c>
      <c r="BF81" s="5"/>
      <c r="BG81" s="5"/>
    </row>
    <row r="82" spans="7:59" x14ac:dyDescent="0.25">
      <c r="G82" s="5" t="s">
        <v>547</v>
      </c>
      <c r="H82" s="5">
        <f>B63+E67+H70</f>
        <v>30.659999999999993</v>
      </c>
      <c r="I82" s="5" t="s">
        <v>33</v>
      </c>
      <c r="O82" s="9" t="s">
        <v>1446</v>
      </c>
      <c r="P82" s="9">
        <f>(P81*50)*10^-2</f>
        <v>3.1</v>
      </c>
      <c r="Q82" s="9" t="s">
        <v>23</v>
      </c>
      <c r="S82" s="14" t="s">
        <v>1447</v>
      </c>
      <c r="T82" s="14">
        <f>T80+T75+T72+T69+T66+T63+T60+T56</f>
        <v>6.028048407719611</v>
      </c>
      <c r="U82" s="14" t="s">
        <v>21</v>
      </c>
      <c r="AE82" s="36"/>
      <c r="AF82" s="5">
        <f t="shared" si="11"/>
        <v>1.2</v>
      </c>
      <c r="AG82" s="5" t="s">
        <v>23</v>
      </c>
      <c r="AH82" s="5" t="s">
        <v>1121</v>
      </c>
      <c r="AI82" s="5">
        <f>AI80-AI24</f>
        <v>4.6749999999999998</v>
      </c>
      <c r="AJ82" s="5" t="s">
        <v>33</v>
      </c>
      <c r="BE82" s="5" t="s">
        <v>14</v>
      </c>
      <c r="BF82" s="5">
        <v>0.17</v>
      </c>
      <c r="BG82" s="5" t="s">
        <v>23</v>
      </c>
    </row>
    <row r="83" spans="7:59" x14ac:dyDescent="0.25">
      <c r="G83" s="50" t="s">
        <v>315</v>
      </c>
      <c r="H83">
        <f>H82*J5</f>
        <v>0.61319999999999986</v>
      </c>
      <c r="I83" s="44" t="s">
        <v>21</v>
      </c>
      <c r="O83" s="5" t="s">
        <v>1448</v>
      </c>
      <c r="P83" s="5">
        <f>P82*P19*P20</f>
        <v>6.0760000000000015E-2</v>
      </c>
      <c r="Q83" s="5" t="s">
        <v>21</v>
      </c>
      <c r="AE83" s="36"/>
      <c r="AF83" s="5">
        <f t="shared" si="11"/>
        <v>0.70000000000000007</v>
      </c>
      <c r="AG83" s="5" t="s">
        <v>23</v>
      </c>
      <c r="AH83" s="5" t="s">
        <v>679</v>
      </c>
      <c r="AI83" s="5">
        <f>AI82*AI77</f>
        <v>0.46750000000000003</v>
      </c>
      <c r="AJ83" s="5" t="s">
        <v>21</v>
      </c>
      <c r="BE83" s="5" t="s">
        <v>13</v>
      </c>
      <c r="BF83" s="5">
        <v>0.17</v>
      </c>
      <c r="BG83" s="5" t="s">
        <v>23</v>
      </c>
    </row>
    <row r="84" spans="7:59" x14ac:dyDescent="0.25">
      <c r="G84" s="5" t="s">
        <v>606</v>
      </c>
      <c r="H84" s="5">
        <f>B69+E73</f>
        <v>5.1449999999999996</v>
      </c>
      <c r="I84" s="5" t="s">
        <v>33</v>
      </c>
      <c r="O84" s="5" t="s">
        <v>1449</v>
      </c>
      <c r="P84" s="5">
        <v>2</v>
      </c>
      <c r="Q84" s="5"/>
      <c r="AE84" s="36"/>
      <c r="AF84" s="5">
        <f t="shared" si="11"/>
        <v>0.70000000000000007</v>
      </c>
      <c r="AG84" s="5" t="s">
        <v>23</v>
      </c>
      <c r="AH84" s="17" t="s">
        <v>1450</v>
      </c>
      <c r="AI84">
        <f>((AC64*2)+AI25+AI55+AI72+AI81)*J2</f>
        <v>2.1606999999999998</v>
      </c>
      <c r="AJ84" s="36" t="s">
        <v>21</v>
      </c>
      <c r="BE84" s="5" t="s">
        <v>1451</v>
      </c>
      <c r="BF84" s="5"/>
      <c r="BG84" s="5"/>
    </row>
    <row r="85" spans="7:59" x14ac:dyDescent="0.25">
      <c r="G85" s="17" t="s">
        <v>333</v>
      </c>
      <c r="H85">
        <f>H84*J2</f>
        <v>0.20579999999999998</v>
      </c>
      <c r="I85" s="44" t="s">
        <v>21</v>
      </c>
      <c r="O85" s="14" t="s">
        <v>1452</v>
      </c>
      <c r="P85" s="14">
        <f>P84*P83</f>
        <v>0.12152000000000003</v>
      </c>
      <c r="Q85" s="14" t="s">
        <v>21</v>
      </c>
      <c r="AE85" s="36"/>
      <c r="AF85" s="5">
        <f t="shared" si="11"/>
        <v>0.3</v>
      </c>
      <c r="AG85" s="5" t="s">
        <v>23</v>
      </c>
      <c r="BE85" s="5" t="s">
        <v>14</v>
      </c>
      <c r="BF85" s="5">
        <f>BF82/2</f>
        <v>8.5000000000000006E-2</v>
      </c>
      <c r="BG85" s="5" t="s">
        <v>23</v>
      </c>
    </row>
    <row r="86" spans="7:59" x14ac:dyDescent="0.25">
      <c r="AE86" s="36"/>
      <c r="AF86" s="5">
        <f t="shared" si="11"/>
        <v>4.3</v>
      </c>
      <c r="AG86" s="5" t="s">
        <v>23</v>
      </c>
      <c r="BE86" s="5" t="s">
        <v>1453</v>
      </c>
      <c r="BF86" s="5">
        <f>BF83</f>
        <v>0.17</v>
      </c>
      <c r="BG86" s="5" t="s">
        <v>23</v>
      </c>
    </row>
    <row r="87" spans="7:59" x14ac:dyDescent="0.25">
      <c r="AE87" s="36"/>
      <c r="AF87" s="5">
        <f t="shared" si="11"/>
        <v>2</v>
      </c>
      <c r="AG87" s="5" t="s">
        <v>23</v>
      </c>
      <c r="AH87" t="s">
        <v>1454</v>
      </c>
      <c r="AI87">
        <f>AI73+AI56+AI82</f>
        <v>31.544999999999998</v>
      </c>
      <c r="AJ87" t="s">
        <v>33</v>
      </c>
      <c r="BE87" s="5"/>
      <c r="BF87" s="5"/>
      <c r="BG87" s="5"/>
    </row>
    <row r="88" spans="7:59" x14ac:dyDescent="0.25">
      <c r="AE88" s="36"/>
      <c r="AF88" s="5">
        <f t="shared" si="11"/>
        <v>2.25</v>
      </c>
      <c r="AG88" s="5" t="s">
        <v>23</v>
      </c>
      <c r="AH88" s="27" t="s">
        <v>1286</v>
      </c>
      <c r="AI88" s="27"/>
      <c r="AJ88" s="27"/>
      <c r="BE88" s="27" t="s">
        <v>1455</v>
      </c>
      <c r="BF88" s="5"/>
      <c r="BG88" s="5"/>
    </row>
    <row r="89" spans="7:59" x14ac:dyDescent="0.25">
      <c r="AE89" s="36"/>
      <c r="AF89" s="5">
        <f t="shared" si="11"/>
        <v>0.5</v>
      </c>
      <c r="AG89" s="5" t="s">
        <v>23</v>
      </c>
      <c r="AH89" s="5" t="s">
        <v>809</v>
      </c>
      <c r="AI89" s="5">
        <f>6/20</f>
        <v>0.3</v>
      </c>
      <c r="AJ89" s="5" t="s">
        <v>810</v>
      </c>
      <c r="BE89" s="5" t="s">
        <v>1456</v>
      </c>
      <c r="BF89" s="5">
        <v>10</v>
      </c>
      <c r="BG89" s="5"/>
    </row>
    <row r="90" spans="7:59" x14ac:dyDescent="0.25">
      <c r="AE90" s="36"/>
      <c r="AF90" s="5">
        <f t="shared" si="11"/>
        <v>1.6</v>
      </c>
      <c r="AG90" s="5" t="s">
        <v>23</v>
      </c>
      <c r="AH90" s="5" t="s">
        <v>125</v>
      </c>
      <c r="AI90" s="5">
        <f>AI87</f>
        <v>31.544999999999998</v>
      </c>
      <c r="AJ90" s="5" t="s">
        <v>33</v>
      </c>
      <c r="BE90" s="20" t="s">
        <v>1457</v>
      </c>
      <c r="BF90" s="20">
        <f>(BF50*BF82*BF83)*BF89</f>
        <v>2.3553500000000005</v>
      </c>
      <c r="BG90" s="20" t="s">
        <v>21</v>
      </c>
    </row>
    <row r="91" spans="7:59" x14ac:dyDescent="0.25">
      <c r="AE91" s="36"/>
      <c r="AF91" s="5">
        <f t="shared" si="11"/>
        <v>0.1</v>
      </c>
      <c r="AG91" s="5" t="s">
        <v>23</v>
      </c>
      <c r="AH91" s="20" t="s">
        <v>1301</v>
      </c>
      <c r="AI91" s="20">
        <f>AI90*AI89</f>
        <v>9.4634999999999998</v>
      </c>
      <c r="AJ91" s="20" t="s">
        <v>119</v>
      </c>
      <c r="BE91" s="5" t="str">
        <f t="shared" ref="BE91:BE118" si="12">BE51</f>
        <v>8a (y)</v>
      </c>
      <c r="BF91" s="5">
        <f>BF51*BF85*BF86</f>
        <v>5.2020000000000011E-2</v>
      </c>
      <c r="BG91" s="5" t="s">
        <v>21</v>
      </c>
    </row>
    <row r="92" spans="7:59" x14ac:dyDescent="0.25">
      <c r="AE92" s="36"/>
      <c r="AF92" s="5">
        <f t="shared" si="11"/>
        <v>0.5</v>
      </c>
      <c r="AG92" s="5" t="s">
        <v>23</v>
      </c>
      <c r="AH92" s="5" t="s">
        <v>138</v>
      </c>
      <c r="AI92" s="5">
        <f>($L$37*10^-3)*AI91</f>
        <v>0.14195249999999998</v>
      </c>
      <c r="AJ92" s="5" t="s">
        <v>21</v>
      </c>
      <c r="BE92" s="5" t="str">
        <f t="shared" si="12"/>
        <v>8b (y)</v>
      </c>
      <c r="BF92" s="5">
        <f>BF52*BF85*BF86</f>
        <v>5.2020000000000011E-2</v>
      </c>
      <c r="BG92" s="5" t="s">
        <v>21</v>
      </c>
    </row>
    <row r="93" spans="7:59" x14ac:dyDescent="0.25">
      <c r="AE93" s="36"/>
      <c r="AF93" s="5">
        <f t="shared" si="11"/>
        <v>2.25</v>
      </c>
      <c r="AG93" s="5" t="s">
        <v>23</v>
      </c>
      <c r="AH93" s="14" t="s">
        <v>281</v>
      </c>
      <c r="AI93" s="5">
        <f>AI92*$F$12</f>
        <v>241.31924999999998</v>
      </c>
      <c r="AJ93" s="5" t="s">
        <v>119</v>
      </c>
      <c r="BE93" s="5" t="str">
        <f t="shared" si="12"/>
        <v>8c (g)</v>
      </c>
      <c r="BF93" s="5">
        <f>BF53*BF82*BF83</f>
        <v>2.4565000000000003E-2</v>
      </c>
      <c r="BG93" s="5" t="s">
        <v>21</v>
      </c>
    </row>
    <row r="94" spans="7:59" x14ac:dyDescent="0.25">
      <c r="AE94" s="36"/>
      <c r="AF94" s="5">
        <f t="shared" si="11"/>
        <v>4.3</v>
      </c>
      <c r="AG94" s="5" t="s">
        <v>23</v>
      </c>
      <c r="BE94" s="5" t="str">
        <f t="shared" si="12"/>
        <v>8d (y)</v>
      </c>
      <c r="BF94" s="5">
        <f>BF54*BF85*BF86</f>
        <v>5.129750000000001E-2</v>
      </c>
      <c r="BG94" s="5" t="s">
        <v>21</v>
      </c>
    </row>
    <row r="95" spans="7:59" x14ac:dyDescent="0.25">
      <c r="AE95" s="36"/>
      <c r="AF95" s="5">
        <f t="shared" si="11"/>
        <v>0.4</v>
      </c>
      <c r="AG95" s="5" t="s">
        <v>23</v>
      </c>
      <c r="BE95" s="5" t="str">
        <f t="shared" si="12"/>
        <v>8e (y)</v>
      </c>
      <c r="BF95" s="5">
        <f>BF55*BF85*BF86</f>
        <v>5.2020000000000011E-2</v>
      </c>
      <c r="BG95" s="5" t="s">
        <v>21</v>
      </c>
    </row>
    <row r="96" spans="7:59" x14ac:dyDescent="0.25">
      <c r="AE96" s="36"/>
      <c r="AF96" s="5">
        <f t="shared" si="11"/>
        <v>0.65</v>
      </c>
      <c r="AG96" s="5" t="s">
        <v>23</v>
      </c>
      <c r="BE96" s="5" t="str">
        <f t="shared" si="12"/>
        <v>8f (g)</v>
      </c>
      <c r="BF96" s="5">
        <f>BF56*BF82*BF83</f>
        <v>2.4565000000000003E-2</v>
      </c>
      <c r="BG96" s="5" t="s">
        <v>21</v>
      </c>
    </row>
    <row r="97" spans="31:59" x14ac:dyDescent="0.25">
      <c r="AE97" s="7"/>
      <c r="AF97" s="5">
        <f t="shared" si="11"/>
        <v>1.1499999999999999</v>
      </c>
      <c r="AG97" s="5" t="s">
        <v>23</v>
      </c>
      <c r="BE97" s="5" t="str">
        <f t="shared" si="12"/>
        <v>6a (y)</v>
      </c>
      <c r="BF97" s="5">
        <f>BF57*BF86*BF85</f>
        <v>6.2135000000000003E-2</v>
      </c>
      <c r="BG97" s="5" t="s">
        <v>21</v>
      </c>
    </row>
    <row r="98" spans="31:59" x14ac:dyDescent="0.25">
      <c r="AE98" s="5" t="s">
        <v>1458</v>
      </c>
      <c r="AF98" s="5">
        <f>SUM(AF68:AF97)</f>
        <v>54.249999999999993</v>
      </c>
      <c r="AG98" s="5" t="s">
        <v>23</v>
      </c>
      <c r="BE98" s="5" t="str">
        <f t="shared" si="12"/>
        <v>6b (g)</v>
      </c>
      <c r="BF98" s="5">
        <f>BF58*BF82*BF83</f>
        <v>0.11704500000000001</v>
      </c>
      <c r="BG98" s="5" t="s">
        <v>21</v>
      </c>
    </row>
    <row r="99" spans="31:59" x14ac:dyDescent="0.25">
      <c r="BE99" s="5" t="str">
        <f t="shared" si="12"/>
        <v>6c (g)</v>
      </c>
      <c r="BF99" s="5">
        <f>BF59*BF82*BF83</f>
        <v>4.6240000000000003E-2</v>
      </c>
      <c r="BG99" s="5" t="s">
        <v>21</v>
      </c>
    </row>
    <row r="100" spans="31:59" x14ac:dyDescent="0.25">
      <c r="BE100" s="5" t="str">
        <f t="shared" si="12"/>
        <v>6d (y)</v>
      </c>
      <c r="BF100" s="5">
        <f>BF60*BF86*BF85</f>
        <v>1.5895000000000003E-2</v>
      </c>
      <c r="BG100" s="5" t="s">
        <v>21</v>
      </c>
    </row>
    <row r="101" spans="31:59" x14ac:dyDescent="0.25">
      <c r="BE101" s="5" t="str">
        <f t="shared" si="12"/>
        <v>6e (y)</v>
      </c>
      <c r="BF101" s="5">
        <f>BF61*BF85*BF86</f>
        <v>3.9737500000000002E-2</v>
      </c>
      <c r="BG101" s="5" t="s">
        <v>21</v>
      </c>
    </row>
    <row r="102" spans="31:59" x14ac:dyDescent="0.25">
      <c r="BE102" s="5" t="str">
        <f t="shared" si="12"/>
        <v>6f (y)</v>
      </c>
      <c r="BF102" s="5">
        <f>BF62*BF85*BF86</f>
        <v>3.9737500000000002E-2</v>
      </c>
      <c r="BG102" s="5" t="s">
        <v>21</v>
      </c>
    </row>
    <row r="103" spans="31:59" x14ac:dyDescent="0.25">
      <c r="BE103" s="5" t="str">
        <f t="shared" si="12"/>
        <v>6g (g)</v>
      </c>
      <c r="BF103" s="5">
        <f>BF63*BF82*BF83</f>
        <v>4.6240000000000003E-2</v>
      </c>
      <c r="BG103" s="5" t="s">
        <v>21</v>
      </c>
    </row>
    <row r="104" spans="31:59" x14ac:dyDescent="0.25">
      <c r="BE104" s="5" t="str">
        <f t="shared" si="12"/>
        <v>6h (y)</v>
      </c>
      <c r="BF104" s="5">
        <f>BF64*BF85*BF86</f>
        <v>1.7340000000000001E-2</v>
      </c>
      <c r="BG104" s="5" t="s">
        <v>21</v>
      </c>
    </row>
    <row r="105" spans="31:59" x14ac:dyDescent="0.25">
      <c r="BE105" s="5" t="str">
        <f t="shared" si="12"/>
        <v>6i (g)</v>
      </c>
      <c r="BF105" s="5">
        <f>BF65*BF82*BF83</f>
        <v>5.2020000000000011E-2</v>
      </c>
      <c r="BG105" s="5" t="s">
        <v>21</v>
      </c>
    </row>
    <row r="106" spans="31:59" x14ac:dyDescent="0.25">
      <c r="BE106" s="5" t="str">
        <f t="shared" si="12"/>
        <v>6j (y)</v>
      </c>
      <c r="BF106" s="5">
        <f>BF66*BF85*BF86</f>
        <v>5.707750000000001E-2</v>
      </c>
      <c r="BG106" s="5" t="s">
        <v>21</v>
      </c>
    </row>
    <row r="107" spans="31:59" x14ac:dyDescent="0.25">
      <c r="BE107" s="5" t="str">
        <f t="shared" si="12"/>
        <v>6k (y)</v>
      </c>
      <c r="BF107" s="5">
        <f>BF67*BF85*BF86</f>
        <v>5.707750000000001E-2</v>
      </c>
      <c r="BG107" s="5" t="s">
        <v>21</v>
      </c>
    </row>
    <row r="108" spans="31:59" x14ac:dyDescent="0.25">
      <c r="BE108" s="5" t="str">
        <f t="shared" si="12"/>
        <v>5 (g)</v>
      </c>
      <c r="BF108" s="5">
        <f>BF68*BF82*BF83</f>
        <v>0.12427000000000001</v>
      </c>
      <c r="BG108" s="5" t="s">
        <v>21</v>
      </c>
    </row>
    <row r="109" spans="31:59" x14ac:dyDescent="0.25">
      <c r="BE109" s="5" t="str">
        <f t="shared" si="12"/>
        <v>4a (y)</v>
      </c>
      <c r="BF109" s="5">
        <f>BF69*BF85*BF86</f>
        <v>5.129750000000001E-2</v>
      </c>
      <c r="BG109" s="5" t="s">
        <v>21</v>
      </c>
    </row>
    <row r="110" spans="31:59" x14ac:dyDescent="0.25">
      <c r="BE110" s="5" t="str">
        <f t="shared" si="12"/>
        <v>4b (g)</v>
      </c>
      <c r="BF110" s="5">
        <f>BF70*BF83*BF82</f>
        <v>2.4565000000000003E-2</v>
      </c>
      <c r="BG110" s="5" t="s">
        <v>21</v>
      </c>
    </row>
    <row r="111" spans="31:59" x14ac:dyDescent="0.25">
      <c r="BE111" s="5" t="str">
        <f t="shared" si="12"/>
        <v>4c (y)</v>
      </c>
      <c r="BF111" s="5">
        <f>BF71*BF86*BF85</f>
        <v>5.129750000000001E-2</v>
      </c>
      <c r="BG111" s="5" t="s">
        <v>21</v>
      </c>
    </row>
    <row r="112" spans="31:59" x14ac:dyDescent="0.25">
      <c r="BE112" s="5" t="str">
        <f t="shared" si="12"/>
        <v xml:space="preserve">4d (y) </v>
      </c>
      <c r="BF112" s="5">
        <f>BF72*BF85*BF86</f>
        <v>2.8900000000000006E-2</v>
      </c>
      <c r="BG112" s="5" t="s">
        <v>21</v>
      </c>
    </row>
    <row r="113" spans="1:59" x14ac:dyDescent="0.25">
      <c r="BE113" s="5" t="str">
        <f t="shared" si="12"/>
        <v>4e (y)</v>
      </c>
      <c r="BF113" s="5">
        <f>BF73*BF85*BF86</f>
        <v>2.8900000000000006E-2</v>
      </c>
      <c r="BG113" s="5" t="s">
        <v>21</v>
      </c>
    </row>
    <row r="114" spans="1:59" x14ac:dyDescent="0.25">
      <c r="BE114" s="5" t="str">
        <f t="shared" si="12"/>
        <v>4f (g)</v>
      </c>
      <c r="BF114" s="5">
        <f>BF74*BF82*BF83</f>
        <v>4.7685000000000005E-2</v>
      </c>
      <c r="BG114" s="5" t="s">
        <v>21</v>
      </c>
    </row>
    <row r="115" spans="1:59" x14ac:dyDescent="0.25">
      <c r="BE115" s="5" t="str">
        <f t="shared" si="12"/>
        <v>4g (g)</v>
      </c>
      <c r="BF115" s="5">
        <f>BF75*BF82*BF83</f>
        <v>4.7685000000000005E-2</v>
      </c>
      <c r="BG115" s="5" t="s">
        <v>21</v>
      </c>
    </row>
    <row r="116" spans="1:59" x14ac:dyDescent="0.25">
      <c r="BE116" s="5" t="str">
        <f t="shared" si="12"/>
        <v>4h (y)</v>
      </c>
      <c r="BF116" s="5">
        <f>BF76*BF85*BF86</f>
        <v>5.7800000000000004E-3</v>
      </c>
      <c r="BG116" s="5" t="s">
        <v>21</v>
      </c>
    </row>
    <row r="117" spans="1:59" x14ac:dyDescent="0.25">
      <c r="BE117" s="5" t="str">
        <f t="shared" si="12"/>
        <v>4i (y)</v>
      </c>
      <c r="BF117" s="5">
        <f>BF77*BF85*BF86</f>
        <v>5.7800000000000004E-3</v>
      </c>
      <c r="BG117" s="5" t="s">
        <v>21</v>
      </c>
    </row>
    <row r="118" spans="1:59" x14ac:dyDescent="0.25">
      <c r="BE118" s="5" t="str">
        <f t="shared" si="12"/>
        <v>4j (g)</v>
      </c>
      <c r="BF118" s="5">
        <f>BF78*BF82*BF83</f>
        <v>1.4450000000000003E-2</v>
      </c>
      <c r="BG118" s="5" t="s">
        <v>21</v>
      </c>
    </row>
    <row r="119" spans="1:59" x14ac:dyDescent="0.25">
      <c r="BE119" s="20" t="s">
        <v>1459</v>
      </c>
      <c r="BF119" s="20">
        <f>SUM(BF90:BF118)</f>
        <v>3.5929925000000025</v>
      </c>
      <c r="BG119" s="20" t="s">
        <v>21</v>
      </c>
    </row>
    <row r="120" spans="1:59" x14ac:dyDescent="0.25">
      <c r="BE120" s="19"/>
      <c r="BF120" s="19"/>
      <c r="BG120" s="19"/>
    </row>
    <row r="128" spans="1:59" x14ac:dyDescent="0.25">
      <c r="A128" s="17"/>
    </row>
    <row r="129" spans="1:63" x14ac:dyDescent="0.25">
      <c r="A129" s="19" t="s">
        <v>145</v>
      </c>
      <c r="B129" s="19">
        <f>L136</f>
        <v>239.08750000000001</v>
      </c>
      <c r="C129" s="19" t="s">
        <v>33</v>
      </c>
      <c r="D129" s="19" t="s">
        <v>521</v>
      </c>
      <c r="E129" s="19">
        <v>3.415</v>
      </c>
      <c r="F129" s="19" t="s">
        <v>522</v>
      </c>
      <c r="G129" s="19">
        <v>6</v>
      </c>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row>
    <row r="131" spans="1:63" x14ac:dyDescent="0.25">
      <c r="A131" s="58" t="s">
        <v>525</v>
      </c>
      <c r="B131" s="58" t="s">
        <v>526</v>
      </c>
      <c r="C131" s="58" t="s">
        <v>198</v>
      </c>
      <c r="D131" s="58" t="s">
        <v>527</v>
      </c>
      <c r="E131" s="58" t="s">
        <v>1460</v>
      </c>
      <c r="F131" s="58" t="s">
        <v>529</v>
      </c>
      <c r="G131" s="58" t="s">
        <v>1461</v>
      </c>
      <c r="H131" s="58" t="s">
        <v>530</v>
      </c>
      <c r="K131" s="58" t="s">
        <v>760</v>
      </c>
      <c r="N131" s="58" t="str">
        <f>A131</f>
        <v xml:space="preserve">Section </v>
      </c>
      <c r="O131" s="58" t="str">
        <f>B131</f>
        <v xml:space="preserve">Materials </v>
      </c>
      <c r="P131" s="58" t="str">
        <f>C131</f>
        <v>Amount</v>
      </c>
      <c r="Q131" s="58" t="str">
        <f>D131</f>
        <v>Unit</v>
      </c>
      <c r="R131" s="58" t="s">
        <v>1002</v>
      </c>
      <c r="S131" s="58" t="str">
        <f>E131</f>
        <v>[Unit/ liveable m2/year]</v>
      </c>
      <c r="T131" s="58" t="str">
        <f>F131</f>
        <v>Service life [year]</v>
      </c>
      <c r="U131" s="58" t="s">
        <v>530</v>
      </c>
      <c r="X131" s="96" t="s">
        <v>28</v>
      </c>
      <c r="Y131" s="97" t="s">
        <v>29</v>
      </c>
      <c r="Z131" s="98"/>
    </row>
    <row r="132" spans="1:63" x14ac:dyDescent="0.25">
      <c r="A132" s="59" t="s">
        <v>64</v>
      </c>
      <c r="B132" s="59"/>
      <c r="C132" s="59"/>
      <c r="D132" s="59"/>
      <c r="E132" s="59"/>
      <c r="F132" s="59"/>
      <c r="G132" s="59"/>
      <c r="H132" s="59"/>
      <c r="K132" t="s">
        <v>85</v>
      </c>
      <c r="L132">
        <f>((6.8*$C$10*10^-2)*(8.4*$C$10*10^-2))+((7.1*$C$10*10^-2)*(7.5*$C$10*10^-2))+((4*$C$10*10^-2)*(8.4*$C$10*10^-2))</f>
        <v>35.9925</v>
      </c>
      <c r="N132" s="59" t="str">
        <f>A136</f>
        <v>Exterior wall</v>
      </c>
      <c r="O132" s="59"/>
      <c r="P132" s="73"/>
      <c r="Q132" s="59"/>
      <c r="R132" s="59"/>
      <c r="S132" s="73"/>
      <c r="T132" s="59"/>
      <c r="U132" s="59"/>
      <c r="X132" s="99" t="s">
        <v>36</v>
      </c>
      <c r="Y132" s="100">
        <v>120</v>
      </c>
      <c r="Z132" s="98">
        <f t="shared" ref="Z132:Z180" si="13">$AD$134/Y132</f>
        <v>0.8833333333333333</v>
      </c>
      <c r="AC132" t="s">
        <v>9</v>
      </c>
      <c r="AD132">
        <f>B4</f>
        <v>1902</v>
      </c>
    </row>
    <row r="133" spans="1:63" x14ac:dyDescent="0.25">
      <c r="A133" s="58" t="s">
        <v>764</v>
      </c>
      <c r="B133" t="s">
        <v>1005</v>
      </c>
      <c r="C133" s="68">
        <f>AM35</f>
        <v>22770.957341269841</v>
      </c>
      <c r="D133" t="s">
        <v>119</v>
      </c>
      <c r="E133" s="61">
        <f>C133/$B$129/$AD$134</f>
        <v>0.89850097673918783</v>
      </c>
      <c r="H133" s="61">
        <f>E133/($E$129*$G$129)</f>
        <v>4.3850706527046743E-2</v>
      </c>
      <c r="L133">
        <f>((4.9*$C$10*10^-2)*(7.5*$C$10*10^-2))+((7.5*$C$10*10^-2)*(7.1*$C$10*10^-2))+((7.1*$C$10*10^-2)*(8.4*$C$10*10^-2))+((4*$C$10*10^-2)*(8.4*$C$10*10^-2))</f>
        <v>45.81</v>
      </c>
      <c r="N133" s="58" t="str">
        <f>A138</f>
        <v>Mortar</v>
      </c>
      <c r="O133" t="str">
        <f>B138</f>
        <v>Lime</v>
      </c>
      <c r="P133" s="68">
        <f>C138*AA167</f>
        <v>28367.83747767856</v>
      </c>
      <c r="Q133" t="str">
        <f>D138</f>
        <v xml:space="preserve">kg </v>
      </c>
      <c r="R133" t="str">
        <f>X167</f>
        <v>Exterior wall, plaster, kalkmørtel</v>
      </c>
      <c r="S133" s="61">
        <f>P133/$B$129/$AD$134</f>
        <v>1.119343789533064</v>
      </c>
      <c r="U133" s="61">
        <f>S133/($E$129*$G$129)</f>
        <v>5.4628784262228593E-2</v>
      </c>
      <c r="X133" s="99" t="s">
        <v>41</v>
      </c>
      <c r="Y133" s="100">
        <v>120</v>
      </c>
      <c r="Z133" s="98">
        <f t="shared" si="13"/>
        <v>0.8833333333333333</v>
      </c>
      <c r="AC133" t="s">
        <v>585</v>
      </c>
      <c r="AD133" s="101">
        <v>2008</v>
      </c>
    </row>
    <row r="134" spans="1:63" x14ac:dyDescent="0.25">
      <c r="A134" s="58" t="s">
        <v>535</v>
      </c>
      <c r="B134" t="s">
        <v>536</v>
      </c>
      <c r="C134" s="68">
        <f>AM38</f>
        <v>4883.1133928571417</v>
      </c>
      <c r="D134" t="s">
        <v>119</v>
      </c>
      <c r="E134" s="61">
        <f>C134/$B$129/$AD$134</f>
        <v>0.19267886225663974</v>
      </c>
      <c r="H134" s="61">
        <f>E134/($E$129*$G$129)</f>
        <v>9.4035559910512316E-3</v>
      </c>
      <c r="K134" t="s">
        <v>588</v>
      </c>
      <c r="L134">
        <f>(((7.3*$C$10*10^-2)*(7.5*$C$10*10^-2))-((2.3*$C$10*10^-2)*(1.3*$C$10*10^-2))-((1.3*$C$10*10^-2)*(1*$C$10*10^-2)))+(((7.3*$C$10*10^-2)*(8.4*$C$10*10^-2))-((2.3*$C$10*10^-2)*(1.3*$C$10*10^-2))-((2.3*$C$10*10^-2)*(0.8*$C$10*10^-2)))+((4*$C$10*10^-2)*(8.4*$C$10*10^-2))</f>
        <v>35.137499999999996</v>
      </c>
      <c r="P134" s="68"/>
      <c r="S134" s="69"/>
      <c r="U134" s="61"/>
      <c r="X134" s="99" t="s">
        <v>46</v>
      </c>
      <c r="Y134" s="102">
        <v>120</v>
      </c>
      <c r="Z134" s="98">
        <f t="shared" si="13"/>
        <v>0.8833333333333333</v>
      </c>
      <c r="AC134" t="s">
        <v>15</v>
      </c>
      <c r="AD134">
        <f>AD133-AD132</f>
        <v>106</v>
      </c>
      <c r="AE134" t="s">
        <v>16</v>
      </c>
    </row>
    <row r="135" spans="1:63" x14ac:dyDescent="0.25">
      <c r="C135" s="68"/>
      <c r="E135" s="61"/>
      <c r="H135" s="61"/>
      <c r="L135">
        <f>((4.9*$C$10*10^-2)*((6.1-1.3)*$C$10*10^-2))+((7.1*$C$10*10^-2)*(7.5*$C$10*10^-2)-((0.8*$C$10*10^-2)*(1.3*$C$10*10^-2))-((1.3*$C$10*10^-2)*(2.5*$C$10*10^-2)))+(((7.1*$C$10*10^-2)*(8.4*$C$10*10^-2)-((0.6*$C$10*10^-2)*(1.4*$C$10*10^-2))-((1.4*$C$10*10^-2)*(2.5*$C$10*10^-2))))+((4*$C$10*10^-2)*(8.4*$C$10*10^-2))</f>
        <v>40.344999999999999</v>
      </c>
      <c r="N135" s="59" t="str">
        <f>A140</f>
        <v xml:space="preserve">Interior wall </v>
      </c>
      <c r="O135" s="59"/>
      <c r="P135" s="71"/>
      <c r="Q135" s="59"/>
      <c r="R135" s="59"/>
      <c r="S135" s="73"/>
      <c r="T135" s="59"/>
      <c r="U135" s="70"/>
      <c r="X135" s="99" t="s">
        <v>53</v>
      </c>
      <c r="Y135" s="102">
        <v>80</v>
      </c>
      <c r="Z135" s="98">
        <f t="shared" si="13"/>
        <v>1.325</v>
      </c>
      <c r="AA135">
        <v>1</v>
      </c>
      <c r="AC135" t="s">
        <v>18</v>
      </c>
      <c r="AD135" s="77" t="s">
        <v>19</v>
      </c>
    </row>
    <row r="136" spans="1:63" x14ac:dyDescent="0.25">
      <c r="A136" s="63" t="s">
        <v>534</v>
      </c>
      <c r="B136" s="64"/>
      <c r="C136" s="82"/>
      <c r="D136" s="64"/>
      <c r="E136" s="64"/>
      <c r="F136" s="64"/>
      <c r="G136" s="64"/>
      <c r="H136" s="103"/>
      <c r="L136">
        <f>((L132+L133)*2)+L134+L135</f>
        <v>239.08750000000001</v>
      </c>
      <c r="N136" s="104"/>
      <c r="O136" s="42"/>
      <c r="P136" s="105"/>
      <c r="Q136" s="42"/>
      <c r="R136" s="42"/>
      <c r="S136" s="106"/>
      <c r="T136" s="42"/>
      <c r="U136" s="107"/>
      <c r="X136" s="99" t="s">
        <v>56</v>
      </c>
      <c r="Y136" s="102">
        <v>120</v>
      </c>
      <c r="Z136" s="98">
        <f t="shared" si="13"/>
        <v>0.8833333333333333</v>
      </c>
      <c r="AE136" t="s">
        <v>30</v>
      </c>
    </row>
    <row r="137" spans="1:63" x14ac:dyDescent="0.25">
      <c r="A137" s="58" t="s">
        <v>260</v>
      </c>
      <c r="B137" t="s">
        <v>541</v>
      </c>
      <c r="C137" s="68">
        <f>H78</f>
        <v>66142.516576943264</v>
      </c>
      <c r="D137" t="s">
        <v>52</v>
      </c>
      <c r="E137" s="61">
        <f t="shared" ref="E137:E146" si="14">C137/$B$129/$AD$134</f>
        <v>2.6098646120891345</v>
      </c>
      <c r="G137">
        <f>C137/L202</f>
        <v>0.41142070246285006</v>
      </c>
      <c r="H137" s="61">
        <f>E137/($E$129*$G$129)</f>
        <v>0.12737260185891333</v>
      </c>
      <c r="N137" s="58" t="str">
        <f>A142</f>
        <v>Mortar</v>
      </c>
      <c r="O137" t="str">
        <f>B142</f>
        <v>Lime</v>
      </c>
      <c r="P137" s="68">
        <f>C142*AA166</f>
        <v>11534.925535714283</v>
      </c>
      <c r="Q137" t="str">
        <f>D142</f>
        <v xml:space="preserve">kg </v>
      </c>
      <c r="R137" t="str">
        <f>X166</f>
        <v>Exterior wall, plaster, tegl</v>
      </c>
      <c r="S137" s="61">
        <f>P137/$B$129/$AD$134</f>
        <v>0.45514739258104103</v>
      </c>
      <c r="U137" s="61">
        <f>S137/($E$129*$G$129)</f>
        <v>2.2213147514936114E-2</v>
      </c>
      <c r="X137" s="99" t="s">
        <v>58</v>
      </c>
      <c r="Y137" s="102">
        <v>100</v>
      </c>
      <c r="Z137" s="98">
        <f t="shared" si="13"/>
        <v>1.06</v>
      </c>
      <c r="AA137">
        <v>1</v>
      </c>
      <c r="AC137" t="s">
        <v>24</v>
      </c>
      <c r="AD137">
        <v>1890</v>
      </c>
    </row>
    <row r="138" spans="1:63" x14ac:dyDescent="0.25">
      <c r="A138" s="58" t="s">
        <v>537</v>
      </c>
      <c r="B138" t="s">
        <v>538</v>
      </c>
      <c r="C138" s="68">
        <f>H79</f>
        <v>14183.91873883928</v>
      </c>
      <c r="D138" t="s">
        <v>52</v>
      </c>
      <c r="E138" s="61">
        <f t="shared" si="14"/>
        <v>0.55967189476653201</v>
      </c>
      <c r="H138" s="61">
        <f>E138/($E$129*$G$129)</f>
        <v>2.7314392131114296E-2</v>
      </c>
      <c r="N138" s="58" t="str">
        <f>A143</f>
        <v>Mortar, Plaster</v>
      </c>
      <c r="O138" t="str">
        <f>B143</f>
        <v>Lime</v>
      </c>
      <c r="P138" s="68">
        <f>C143*AA168</f>
        <v>16714.23</v>
      </c>
      <c r="Q138" t="str">
        <f>D143</f>
        <v xml:space="preserve">kg </v>
      </c>
      <c r="R138" t="str">
        <f>X168</f>
        <v>Interior wall, plaster, kalkmørtel</v>
      </c>
      <c r="S138" s="61">
        <f>P138/$B$129/$AD$134</f>
        <v>0.65951342121331979</v>
      </c>
      <c r="U138" s="61">
        <f>S138/($E$129*$G$129)</f>
        <v>3.2187087418902867E-2</v>
      </c>
      <c r="X138" s="99" t="s">
        <v>60</v>
      </c>
      <c r="Y138" s="102">
        <v>100</v>
      </c>
      <c r="Z138" s="98">
        <f t="shared" si="13"/>
        <v>1.06</v>
      </c>
      <c r="AA138">
        <v>1</v>
      </c>
      <c r="AC138" t="s">
        <v>15</v>
      </c>
      <c r="AD138">
        <f>AD141-AD137</f>
        <v>70</v>
      </c>
      <c r="AE138" t="s">
        <v>30</v>
      </c>
    </row>
    <row r="139" spans="1:63" x14ac:dyDescent="0.25">
      <c r="C139" s="68"/>
      <c r="E139" s="61"/>
      <c r="H139" s="61"/>
      <c r="P139" s="69"/>
      <c r="S139" s="69"/>
      <c r="U139" s="61"/>
      <c r="X139" s="99" t="s">
        <v>63</v>
      </c>
      <c r="Y139" s="102">
        <v>100</v>
      </c>
      <c r="Z139" s="98">
        <f t="shared" si="13"/>
        <v>1.06</v>
      </c>
      <c r="AA139">
        <v>1</v>
      </c>
      <c r="AC139" t="s">
        <v>37</v>
      </c>
      <c r="AD139">
        <v>1920</v>
      </c>
    </row>
    <row r="140" spans="1:63" x14ac:dyDescent="0.25">
      <c r="A140" s="59" t="s">
        <v>542</v>
      </c>
      <c r="B140" s="59"/>
      <c r="C140" s="71"/>
      <c r="D140" s="59"/>
      <c r="E140" s="59"/>
      <c r="F140" s="59"/>
      <c r="G140" s="59"/>
      <c r="H140" s="70"/>
      <c r="N140" s="59" t="str">
        <f>A145</f>
        <v xml:space="preserve">Doors/windows </v>
      </c>
      <c r="O140" s="59"/>
      <c r="P140" s="73"/>
      <c r="Q140" s="59"/>
      <c r="R140" s="59"/>
      <c r="S140" s="73"/>
      <c r="T140" s="59"/>
      <c r="U140" s="70"/>
      <c r="X140" s="99" t="s">
        <v>67</v>
      </c>
      <c r="Y140" s="102">
        <v>120</v>
      </c>
      <c r="Z140" s="98">
        <f t="shared" si="13"/>
        <v>0.8833333333333333</v>
      </c>
      <c r="AC140" t="s">
        <v>42</v>
      </c>
      <c r="AD140">
        <f>AD133-AD139</f>
        <v>88</v>
      </c>
      <c r="AE140" t="s">
        <v>30</v>
      </c>
    </row>
    <row r="141" spans="1:63" x14ac:dyDescent="0.25">
      <c r="A141" s="58" t="s">
        <v>260</v>
      </c>
      <c r="B141" t="s">
        <v>541</v>
      </c>
      <c r="C141" s="68">
        <f>L32</f>
        <v>53789.719012605041</v>
      </c>
      <c r="D141" t="s">
        <v>52</v>
      </c>
      <c r="E141" s="61">
        <f t="shared" si="14"/>
        <v>2.1224454618673017</v>
      </c>
      <c r="G141">
        <f>C141/L202</f>
        <v>0.33458364039870375</v>
      </c>
      <c r="H141" s="61">
        <f>E141/($E$129*$G$129)</f>
        <v>0.10358445397107377</v>
      </c>
      <c r="N141" s="58" t="str">
        <f>A146</f>
        <v xml:space="preserve">Doors, outside </v>
      </c>
      <c r="O141" t="str">
        <f>B146</f>
        <v xml:space="preserve">Wood </v>
      </c>
      <c r="P141" s="68">
        <f>C146*AA147</f>
        <v>0.20579999999999998</v>
      </c>
      <c r="Q141" t="str">
        <f>D146</f>
        <v>m3</v>
      </c>
      <c r="R141" t="str">
        <f>X147</f>
        <v>Front door, wood</v>
      </c>
      <c r="S141" s="61">
        <f>P141/$B$129/$AD$134</f>
        <v>8.1204974495206305E-6</v>
      </c>
      <c r="U141" s="61">
        <f>S141/($E$129*$G$129)</f>
        <v>3.9631515126991846E-7</v>
      </c>
      <c r="X141" s="108" t="s">
        <v>77</v>
      </c>
      <c r="Y141" s="102">
        <v>85</v>
      </c>
      <c r="Z141" s="98">
        <f t="shared" si="13"/>
        <v>1.2470588235294118</v>
      </c>
      <c r="AA141">
        <v>1</v>
      </c>
      <c r="AC141" t="s">
        <v>47</v>
      </c>
      <c r="AD141">
        <v>1960</v>
      </c>
    </row>
    <row r="142" spans="1:63" x14ac:dyDescent="0.25">
      <c r="A142" s="58" t="s">
        <v>537</v>
      </c>
      <c r="B142" t="s">
        <v>538</v>
      </c>
      <c r="C142" s="68">
        <f>L35</f>
        <v>11534.925535714283</v>
      </c>
      <c r="D142" t="s">
        <v>52</v>
      </c>
      <c r="E142" s="61">
        <f t="shared" si="14"/>
        <v>0.45514739258104103</v>
      </c>
      <c r="H142" s="61">
        <f t="shared" ref="H142:H143" si="15">E142/($E$129*$G$129)</f>
        <v>2.2213147514936114E-2</v>
      </c>
      <c r="P142" s="68">
        <f>C147*AA147</f>
        <v>5.1449999999999996</v>
      </c>
      <c r="Q142" t="s">
        <v>33</v>
      </c>
      <c r="X142" s="99" t="s">
        <v>90</v>
      </c>
      <c r="Y142" s="102">
        <v>120</v>
      </c>
      <c r="Z142" s="98">
        <f t="shared" si="13"/>
        <v>0.8833333333333333</v>
      </c>
      <c r="AC142" t="s">
        <v>15</v>
      </c>
      <c r="AD142">
        <f>AD133-AD141</f>
        <v>48</v>
      </c>
      <c r="AE142" t="s">
        <v>30</v>
      </c>
    </row>
    <row r="143" spans="1:63" x14ac:dyDescent="0.25">
      <c r="A143" s="58" t="s">
        <v>540</v>
      </c>
      <c r="B143" t="s">
        <v>538</v>
      </c>
      <c r="C143" s="68">
        <f>L39</f>
        <v>8357.1149999999998</v>
      </c>
      <c r="D143" t="s">
        <v>52</v>
      </c>
      <c r="E143" s="61">
        <f t="shared" si="14"/>
        <v>0.3297567106066599</v>
      </c>
      <c r="H143" s="61">
        <f t="shared" si="15"/>
        <v>1.6093543709451433E-2</v>
      </c>
      <c r="N143" s="58" t="str">
        <f>A148</f>
        <v xml:space="preserve">Doors, inside </v>
      </c>
      <c r="O143" t="str">
        <f>B148</f>
        <v xml:space="preserve">Wood </v>
      </c>
      <c r="P143" s="68">
        <f>C148*AA151</f>
        <v>4.3213999999999997</v>
      </c>
      <c r="Q143" t="str">
        <f>D148</f>
        <v>m3</v>
      </c>
      <c r="R143" t="str">
        <f>X151</f>
        <v>Interior door, konstruktions træ</v>
      </c>
      <c r="S143" s="61">
        <f>P143/$B$129/$AD$134</f>
        <v>1.7051466316014797E-4</v>
      </c>
      <c r="U143" s="61">
        <f>S143/($E$129*$G$129)</f>
        <v>8.3218478848290845E-6</v>
      </c>
      <c r="X143" s="99" t="s">
        <v>103</v>
      </c>
      <c r="Y143" s="102">
        <v>120</v>
      </c>
      <c r="Z143" s="98">
        <f t="shared" si="13"/>
        <v>0.8833333333333333</v>
      </c>
      <c r="AC143" t="s">
        <v>57</v>
      </c>
      <c r="AD143">
        <v>1930</v>
      </c>
    </row>
    <row r="144" spans="1:63" x14ac:dyDescent="0.25">
      <c r="C144" s="68"/>
      <c r="E144" s="61"/>
      <c r="H144" s="61"/>
      <c r="P144" s="68">
        <f>C149*AA151</f>
        <v>108.03499999999998</v>
      </c>
      <c r="Q144" t="s">
        <v>33</v>
      </c>
      <c r="X144" s="99" t="s">
        <v>113</v>
      </c>
      <c r="Y144" s="102">
        <v>50</v>
      </c>
      <c r="Z144" s="98">
        <f t="shared" si="13"/>
        <v>2.12</v>
      </c>
      <c r="AA144">
        <v>2</v>
      </c>
      <c r="AC144" t="s">
        <v>15</v>
      </c>
      <c r="AD144">
        <f>AD133-AD143</f>
        <v>78</v>
      </c>
      <c r="AE144" t="s">
        <v>30</v>
      </c>
    </row>
    <row r="145" spans="1:31" x14ac:dyDescent="0.25">
      <c r="A145" s="59" t="s">
        <v>543</v>
      </c>
      <c r="B145" s="59"/>
      <c r="C145" s="71"/>
      <c r="D145" s="59"/>
      <c r="E145" s="59"/>
      <c r="F145" s="59"/>
      <c r="G145" s="59"/>
      <c r="H145" s="70"/>
      <c r="N145" s="58" t="str">
        <f>A150</f>
        <v>Window frame</v>
      </c>
      <c r="O145" t="str">
        <f>B150</f>
        <v xml:space="preserve">Wood </v>
      </c>
      <c r="P145" s="68">
        <f>C150*AA149</f>
        <v>1.2263999999999997</v>
      </c>
      <c r="Q145" t="str">
        <f>D150</f>
        <v>m3</v>
      </c>
      <c r="R145" t="str">
        <f>X149</f>
        <v xml:space="preserve">Window frame, Konstruktionstræ </v>
      </c>
      <c r="S145" s="61">
        <f>P145/$B$129/$AD$134</f>
        <v>4.8391535821633141E-5</v>
      </c>
      <c r="U145" s="61">
        <f>S145/($E$129*$G$129)</f>
        <v>2.3617147789962486E-6</v>
      </c>
      <c r="X145" s="99" t="s">
        <v>126</v>
      </c>
      <c r="Y145" s="102">
        <v>40</v>
      </c>
      <c r="Z145" s="98">
        <f t="shared" si="13"/>
        <v>2.65</v>
      </c>
      <c r="AC145" t="s">
        <v>592</v>
      </c>
      <c r="AD145">
        <v>1960</v>
      </c>
    </row>
    <row r="146" spans="1:31" x14ac:dyDescent="0.25">
      <c r="A146" s="58" t="s">
        <v>544</v>
      </c>
      <c r="B146" t="s">
        <v>545</v>
      </c>
      <c r="C146" s="68">
        <f>H85</f>
        <v>0.20579999999999998</v>
      </c>
      <c r="D146" t="s">
        <v>21</v>
      </c>
      <c r="E146" s="61">
        <f t="shared" si="14"/>
        <v>8.1204974495206305E-6</v>
      </c>
      <c r="H146" s="61">
        <f>E146/($E$129*$G$129)</f>
        <v>3.9631515126991846E-7</v>
      </c>
      <c r="P146" s="68">
        <f>C151*AA149</f>
        <v>61.319999999999986</v>
      </c>
      <c r="Q146" t="s">
        <v>33</v>
      </c>
      <c r="X146" s="108" t="s">
        <v>134</v>
      </c>
      <c r="Y146" s="102">
        <v>60</v>
      </c>
      <c r="Z146" s="98">
        <f t="shared" si="13"/>
        <v>1.7666666666666666</v>
      </c>
      <c r="AC146" t="s">
        <v>15</v>
      </c>
      <c r="AD146">
        <f>AD133-AD145</f>
        <v>48</v>
      </c>
      <c r="AE146" t="s">
        <v>30</v>
      </c>
    </row>
    <row r="147" spans="1:31" x14ac:dyDescent="0.25">
      <c r="C147">
        <f>H84</f>
        <v>5.1449999999999996</v>
      </c>
      <c r="D147" t="s">
        <v>33</v>
      </c>
      <c r="N147" s="58" t="str">
        <f>A152</f>
        <v>Window glass</v>
      </c>
      <c r="O147" t="str">
        <f>B152</f>
        <v>Glass</v>
      </c>
      <c r="P147" s="68">
        <f>C152*AA148</f>
        <v>730.54799999999989</v>
      </c>
      <c r="Q147" t="str">
        <f>D152</f>
        <v>kg</v>
      </c>
      <c r="R147" t="str">
        <f>X148</f>
        <v>Window glass</v>
      </c>
      <c r="S147" s="61">
        <f>P147/$B$129/$AD$134</f>
        <v>2.8826108701420786E-2</v>
      </c>
      <c r="U147" s="61">
        <f>S147/($E$129*$G$129)</f>
        <v>1.4068379063650943E-3</v>
      </c>
      <c r="X147" s="108" t="s">
        <v>146</v>
      </c>
      <c r="Y147" s="102">
        <v>60</v>
      </c>
      <c r="Z147" s="98">
        <f t="shared" si="13"/>
        <v>1.7666666666666666</v>
      </c>
      <c r="AA147">
        <v>1</v>
      </c>
      <c r="AC147" t="s">
        <v>594</v>
      </c>
      <c r="AD147">
        <f>AD145-AD132</f>
        <v>58</v>
      </c>
      <c r="AE147" t="s">
        <v>16</v>
      </c>
    </row>
    <row r="148" spans="1:31" x14ac:dyDescent="0.25">
      <c r="A148" s="58" t="s">
        <v>546</v>
      </c>
      <c r="B148" t="s">
        <v>545</v>
      </c>
      <c r="C148" s="68">
        <f>((AC64*2)+AI25+AI55+AI72+AI81)*J2</f>
        <v>2.1606999999999998</v>
      </c>
      <c r="D148" t="s">
        <v>21</v>
      </c>
      <c r="E148" s="61">
        <f>C148/$B$129/$AD$134</f>
        <v>8.5257331580073986E-5</v>
      </c>
      <c r="H148" s="61">
        <f t="shared" ref="H148" si="16">E148/($E$129*$G$129)</f>
        <v>4.1609239424145422E-6</v>
      </c>
      <c r="P148" s="68"/>
      <c r="S148" s="69"/>
      <c r="U148" s="61"/>
      <c r="X148" s="108" t="s">
        <v>157</v>
      </c>
      <c r="Y148" s="102">
        <v>50</v>
      </c>
      <c r="Z148" s="98">
        <f t="shared" si="13"/>
        <v>2.12</v>
      </c>
      <c r="AA148">
        <v>2</v>
      </c>
    </row>
    <row r="149" spans="1:31" x14ac:dyDescent="0.25">
      <c r="C149" s="68">
        <f>((AC64*2)+AI25+AI55+AI72+AI81)</f>
        <v>54.017499999999991</v>
      </c>
      <c r="D149" t="s">
        <v>33</v>
      </c>
      <c r="N149" s="59" t="str">
        <f t="shared" ref="N149:N154" si="17">A154</f>
        <v>Partitions</v>
      </c>
      <c r="O149" s="59"/>
      <c r="P149" s="71"/>
      <c r="Q149" s="59"/>
      <c r="R149" s="59"/>
      <c r="S149" s="73"/>
      <c r="T149" s="59"/>
      <c r="U149" s="70"/>
      <c r="X149" s="108" t="s">
        <v>167</v>
      </c>
      <c r="Y149" s="102">
        <v>50</v>
      </c>
      <c r="Z149" s="98">
        <f t="shared" si="13"/>
        <v>2.12</v>
      </c>
      <c r="AA149">
        <v>2</v>
      </c>
      <c r="AC149" s="98" t="s">
        <v>596</v>
      </c>
      <c r="AD149" s="98">
        <v>35</v>
      </c>
      <c r="AE149" s="98" t="s">
        <v>52</v>
      </c>
    </row>
    <row r="150" spans="1:31" x14ac:dyDescent="0.25">
      <c r="A150" s="58" t="s">
        <v>547</v>
      </c>
      <c r="B150" t="s">
        <v>545</v>
      </c>
      <c r="C150" s="68">
        <f>H83</f>
        <v>0.61319999999999986</v>
      </c>
      <c r="D150" t="s">
        <v>21</v>
      </c>
      <c r="E150" s="61">
        <f>C150/$B$129/$AD$134</f>
        <v>2.4195767910816571E-5</v>
      </c>
      <c r="H150" s="61">
        <f>E150/($E$129*$G$129)</f>
        <v>1.1808573894981243E-6</v>
      </c>
      <c r="N150" s="58" t="str">
        <f t="shared" si="17"/>
        <v>Bricks</v>
      </c>
      <c r="O150" t="str">
        <f>B155</f>
        <v>Tile</v>
      </c>
      <c r="P150" s="68">
        <f>C155*AA171</f>
        <v>35873.900341386558</v>
      </c>
      <c r="Q150" t="str">
        <f>D155</f>
        <v>kg</v>
      </c>
      <c r="R150" t="str">
        <f>X171</f>
        <v>Interior wall, Tegl</v>
      </c>
      <c r="S150" s="61">
        <f>P150/$B$129/$AD$134</f>
        <v>1.4155195151923561</v>
      </c>
      <c r="U150" s="61">
        <f>S150/($E$129*$G$129)</f>
        <v>6.9083431683375107E-2</v>
      </c>
      <c r="X150" s="108" t="s">
        <v>175</v>
      </c>
      <c r="Y150" s="102">
        <v>60</v>
      </c>
      <c r="Z150" s="98">
        <f t="shared" si="13"/>
        <v>1.7666666666666666</v>
      </c>
    </row>
    <row r="151" spans="1:31" x14ac:dyDescent="0.25">
      <c r="C151" s="68">
        <f>H82</f>
        <v>30.659999999999993</v>
      </c>
      <c r="D151" t="s">
        <v>33</v>
      </c>
      <c r="N151" s="58" t="str">
        <f t="shared" si="17"/>
        <v>Mortar</v>
      </c>
      <c r="O151" t="str">
        <f>B156</f>
        <v>Lime</v>
      </c>
      <c r="P151" s="68">
        <f>C156*AA168</f>
        <v>15385.942767857139</v>
      </c>
      <c r="Q151" t="str">
        <f>D156</f>
        <v>kg</v>
      </c>
      <c r="R151" t="str">
        <f>X168</f>
        <v>Interior wall, plaster, kalkmørtel</v>
      </c>
      <c r="S151" s="61">
        <f>P151/$B$129/$AD$134</f>
        <v>0.60710159866304336</v>
      </c>
      <c r="U151" s="61">
        <f>S151/($E$129*$G$129)</f>
        <v>2.9629165381310069E-2</v>
      </c>
      <c r="X151" s="108" t="s">
        <v>185</v>
      </c>
      <c r="Y151" s="102">
        <v>50</v>
      </c>
      <c r="Z151" s="98">
        <f t="shared" si="13"/>
        <v>2.12</v>
      </c>
      <c r="AA151">
        <v>2</v>
      </c>
      <c r="AC151" t="s">
        <v>1462</v>
      </c>
      <c r="AD151">
        <f>AD141-AD132</f>
        <v>58</v>
      </c>
      <c r="AE151" t="s">
        <v>30</v>
      </c>
    </row>
    <row r="152" spans="1:31" x14ac:dyDescent="0.25">
      <c r="A152" s="58" t="s">
        <v>157</v>
      </c>
      <c r="B152" t="s">
        <v>511</v>
      </c>
      <c r="C152" s="68">
        <f>H81</f>
        <v>365.27399999999994</v>
      </c>
      <c r="D152" t="s">
        <v>119</v>
      </c>
      <c r="E152" s="61">
        <f>C152/$B$129/$AD$134</f>
        <v>1.4413054350710393E-2</v>
      </c>
      <c r="H152" s="61">
        <f>E152/($E$129*$G$129)</f>
        <v>7.0341895318254714E-4</v>
      </c>
      <c r="N152" s="58" t="str">
        <f t="shared" si="17"/>
        <v>Wooden Panels</v>
      </c>
      <c r="O152" t="str">
        <f>B157</f>
        <v>Wood</v>
      </c>
      <c r="P152" s="68">
        <f>C157*AA173</f>
        <v>3.6219999999999999</v>
      </c>
      <c r="Q152" t="str">
        <f>D157</f>
        <v>m3</v>
      </c>
      <c r="R152" t="str">
        <f>X173</f>
        <v>Interior wall, træ uklassificeret</v>
      </c>
      <c r="S152" s="61">
        <f>P152/$B$129/$AD$134</f>
        <v>1.4291759845560606E-4</v>
      </c>
      <c r="U152" s="61">
        <f>S152/($E$129*$G$129)</f>
        <v>6.9749926039827256E-6</v>
      </c>
      <c r="X152" s="108" t="s">
        <v>196</v>
      </c>
      <c r="Y152" s="102">
        <v>50</v>
      </c>
      <c r="Z152" s="98">
        <f t="shared" si="13"/>
        <v>2.12</v>
      </c>
      <c r="AA152">
        <v>2</v>
      </c>
    </row>
    <row r="153" spans="1:31" x14ac:dyDescent="0.25">
      <c r="C153" s="68"/>
      <c r="E153" s="61"/>
      <c r="H153" s="61"/>
      <c r="N153" s="58" t="str">
        <f t="shared" si="17"/>
        <v>Mortar, Plaster</v>
      </c>
      <c r="O153" t="str">
        <f>B158</f>
        <v>Lime</v>
      </c>
      <c r="P153" s="68">
        <f>C158*AA168</f>
        <v>22777.033500000001</v>
      </c>
      <c r="Q153" t="str">
        <f>D158</f>
        <v>kg</v>
      </c>
      <c r="R153" t="str">
        <f>X168</f>
        <v>Interior wall, plaster, kalkmørtel</v>
      </c>
      <c r="S153" s="61">
        <f>P153/$B$129/$AD$134</f>
        <v>0.89874073102233232</v>
      </c>
      <c r="U153" s="61">
        <f>S153/($E$129*$G$129)</f>
        <v>4.3862407565755601E-2</v>
      </c>
      <c r="X153" s="108" t="s">
        <v>207</v>
      </c>
      <c r="Y153" s="102">
        <v>40</v>
      </c>
      <c r="Z153" s="98">
        <f t="shared" si="13"/>
        <v>2.65</v>
      </c>
    </row>
    <row r="154" spans="1:31" x14ac:dyDescent="0.25">
      <c r="A154" s="59" t="s">
        <v>73</v>
      </c>
      <c r="B154" s="59"/>
      <c r="C154" s="71"/>
      <c r="D154" s="59"/>
      <c r="E154" s="59"/>
      <c r="F154" s="59"/>
      <c r="G154" s="59"/>
      <c r="H154" s="70"/>
      <c r="N154" s="58" t="str">
        <f t="shared" si="17"/>
        <v>Reed matting (Rørvæv)</v>
      </c>
      <c r="O154" t="str">
        <f>B159</f>
        <v>Reed</v>
      </c>
      <c r="P154" s="68">
        <f>C159*AA160</f>
        <v>18.927</v>
      </c>
      <c r="Q154" t="str">
        <f>D159</f>
        <v>kg</v>
      </c>
      <c r="R154" t="str">
        <f>X160</f>
        <v>Celling, uklassificeret træ</v>
      </c>
      <c r="S154" s="61">
        <f>P154/$B$129/$AD$134</f>
        <v>7.4682534123944112E-4</v>
      </c>
      <c r="U154" s="61">
        <f>S154/($E$129*$G$129)</f>
        <v>3.6448284101485651E-5</v>
      </c>
      <c r="X154" s="108" t="s">
        <v>217</v>
      </c>
      <c r="Y154" s="102">
        <v>100</v>
      </c>
      <c r="Z154" s="98">
        <f t="shared" si="13"/>
        <v>1.06</v>
      </c>
      <c r="AA154">
        <v>1</v>
      </c>
    </row>
    <row r="155" spans="1:31" x14ac:dyDescent="0.25">
      <c r="A155" s="58" t="s">
        <v>260</v>
      </c>
      <c r="B155" t="s">
        <v>541</v>
      </c>
      <c r="C155" s="68">
        <f>AC68+AF26+AI29</f>
        <v>35873.900341386558</v>
      </c>
      <c r="D155" t="s">
        <v>119</v>
      </c>
      <c r="E155" s="61">
        <f>C155/$B$129/$AD$134</f>
        <v>1.4155195151923561</v>
      </c>
      <c r="G155">
        <f>C155/L202</f>
        <v>0.2231433885852552</v>
      </c>
      <c r="H155" s="61">
        <f>E155/($E$129*$G$129)</f>
        <v>6.9083431683375107E-2</v>
      </c>
      <c r="P155" s="68"/>
      <c r="S155" s="69"/>
      <c r="U155" s="61"/>
      <c r="X155" s="108" t="s">
        <v>229</v>
      </c>
      <c r="Y155" s="102">
        <v>80</v>
      </c>
      <c r="Z155" s="98">
        <f t="shared" si="13"/>
        <v>1.325</v>
      </c>
      <c r="AA155">
        <v>1</v>
      </c>
    </row>
    <row r="156" spans="1:31" x14ac:dyDescent="0.25">
      <c r="A156" s="58" t="s">
        <v>537</v>
      </c>
      <c r="B156" t="s">
        <v>538</v>
      </c>
      <c r="C156" s="68">
        <f>AC71+AF29+AI32</f>
        <v>7692.9713839285696</v>
      </c>
      <c r="D156" t="s">
        <v>119</v>
      </c>
      <c r="E156" s="61">
        <f>C156/$B$129/$AD$134</f>
        <v>0.30355079933152168</v>
      </c>
      <c r="H156" s="61">
        <f t="shared" ref="H156:H159" si="18">E156/($E$129*$G$129)</f>
        <v>1.4814582690655035E-2</v>
      </c>
      <c r="N156" s="59" t="str">
        <f t="shared" ref="N156:O162" si="19">A161</f>
        <v>horizontal division</v>
      </c>
      <c r="O156" s="59"/>
      <c r="P156" s="71"/>
      <c r="Q156" s="59"/>
      <c r="R156" s="59"/>
      <c r="S156" s="73"/>
      <c r="T156" s="59"/>
      <c r="U156" s="70"/>
      <c r="X156" s="108" t="s">
        <v>237</v>
      </c>
      <c r="Y156" s="102">
        <v>80</v>
      </c>
      <c r="Z156" s="98">
        <f t="shared" si="13"/>
        <v>1.325</v>
      </c>
      <c r="AA156">
        <v>1</v>
      </c>
    </row>
    <row r="157" spans="1:31" x14ac:dyDescent="0.25">
      <c r="A157" s="58" t="s">
        <v>1463</v>
      </c>
      <c r="B157" t="s">
        <v>539</v>
      </c>
      <c r="C157" s="68">
        <f>AI74+AI57+AI83</f>
        <v>1.8109999999999999</v>
      </c>
      <c r="D157" t="s">
        <v>21</v>
      </c>
      <c r="E157" s="61">
        <f>C157/$B$129/$AD$134</f>
        <v>7.1458799227803031E-5</v>
      </c>
      <c r="H157" s="61">
        <f t="shared" si="18"/>
        <v>3.4874963019913628E-6</v>
      </c>
      <c r="N157" s="58" t="str">
        <f t="shared" si="19"/>
        <v xml:space="preserve">Beams </v>
      </c>
      <c r="O157" t="str">
        <f t="shared" si="19"/>
        <v>Wood</v>
      </c>
      <c r="P157" s="68">
        <f>C162*AA137</f>
        <v>11.841027500000004</v>
      </c>
      <c r="Q157" t="str">
        <f t="shared" ref="Q157:Q162" si="20">D162</f>
        <v>m3</v>
      </c>
      <c r="R157" t="str">
        <f>X137</f>
        <v>Horisontal devition, wood</v>
      </c>
      <c r="S157" s="61">
        <f t="shared" ref="S157:S162" si="21">P157/$B$129/$AD$134</f>
        <v>4.6722562494389556E-4</v>
      </c>
      <c r="U157" s="61">
        <f>S157/($E$129*$G$129)</f>
        <v>2.2802617127569326E-5</v>
      </c>
      <c r="X157" s="108" t="s">
        <v>247</v>
      </c>
      <c r="Y157" s="102">
        <v>60</v>
      </c>
      <c r="Z157" s="98">
        <f t="shared" si="13"/>
        <v>1.7666666666666666</v>
      </c>
      <c r="AA157">
        <v>1</v>
      </c>
    </row>
    <row r="158" spans="1:31" x14ac:dyDescent="0.25">
      <c r="A158" s="58" t="s">
        <v>540</v>
      </c>
      <c r="B158" t="s">
        <v>538</v>
      </c>
      <c r="C158" s="68">
        <f>AC76+AF34+AI37+AI93</f>
        <v>11388.516750000001</v>
      </c>
      <c r="D158" t="s">
        <v>119</v>
      </c>
      <c r="E158" s="61">
        <f>C158/$B$129/$AD$134</f>
        <v>0.44937036551116616</v>
      </c>
      <c r="H158" s="61">
        <f t="shared" si="18"/>
        <v>2.1931203782877801E-2</v>
      </c>
      <c r="N158" s="58" t="str">
        <f t="shared" si="19"/>
        <v>Pugging boards</v>
      </c>
      <c r="O158" t="str">
        <f t="shared" si="19"/>
        <v>Wood</v>
      </c>
      <c r="P158" s="68">
        <f>C163*AA137</f>
        <v>2.1583333333333337</v>
      </c>
      <c r="Q158" t="str">
        <f t="shared" si="20"/>
        <v>m3</v>
      </c>
      <c r="R158" t="str">
        <f>X137</f>
        <v>Horisontal devition, wood</v>
      </c>
      <c r="S158" s="61">
        <f t="shared" si="21"/>
        <v>8.516394717467784E-5</v>
      </c>
      <c r="U158" s="61">
        <f>S158/($E$129*$G$129)</f>
        <v>4.1563663823659266E-6</v>
      </c>
      <c r="X158" s="108" t="s">
        <v>253</v>
      </c>
      <c r="Y158" s="102">
        <v>60</v>
      </c>
      <c r="Z158" s="98">
        <f t="shared" si="13"/>
        <v>1.7666666666666666</v>
      </c>
      <c r="AA158">
        <v>1</v>
      </c>
    </row>
    <row r="159" spans="1:31" x14ac:dyDescent="0.25">
      <c r="A159" s="58" t="str">
        <f>A169</f>
        <v>Reed matting (Rørvæv)</v>
      </c>
      <c r="B159" t="s">
        <v>861</v>
      </c>
      <c r="C159" s="109">
        <f>AI91</f>
        <v>9.4634999999999998</v>
      </c>
      <c r="D159" t="s">
        <v>119</v>
      </c>
      <c r="E159" s="61">
        <f>C159/$B$129/$AD$134</f>
        <v>3.7341267061972056E-4</v>
      </c>
      <c r="H159" s="61">
        <f t="shared" si="18"/>
        <v>1.8224142050742825E-5</v>
      </c>
      <c r="N159" s="58" t="str">
        <f t="shared" si="19"/>
        <v>Pugging</v>
      </c>
      <c r="O159" t="str">
        <f t="shared" si="19"/>
        <v xml:space="preserve">Clay </v>
      </c>
      <c r="P159" s="68">
        <f>C164*AA191</f>
        <v>45584.000000000007</v>
      </c>
      <c r="Q159" t="str">
        <f t="shared" si="20"/>
        <v>kg</v>
      </c>
      <c r="R159" t="str">
        <f>X191</f>
        <v xml:space="preserve">Tagdække, narurlig materiale </v>
      </c>
      <c r="S159" s="61">
        <f t="shared" si="21"/>
        <v>1.7986625643291962</v>
      </c>
      <c r="U159" s="61">
        <f t="shared" ref="U159:U164" si="22">S159/($E$129*$G$129)</f>
        <v>8.7782457995568372E-2</v>
      </c>
      <c r="X159" s="108" t="s">
        <v>264</v>
      </c>
      <c r="Y159" s="102">
        <v>60</v>
      </c>
      <c r="Z159" s="98">
        <f t="shared" si="13"/>
        <v>1.7666666666666666</v>
      </c>
      <c r="AA159">
        <v>1</v>
      </c>
    </row>
    <row r="160" spans="1:31" x14ac:dyDescent="0.25">
      <c r="C160" s="68"/>
      <c r="E160" s="61"/>
      <c r="H160" s="61"/>
      <c r="N160" s="58" t="str">
        <f t="shared" si="19"/>
        <v xml:space="preserve">Ceiling </v>
      </c>
      <c r="O160" t="str">
        <f t="shared" si="19"/>
        <v>Wood</v>
      </c>
      <c r="P160" s="68">
        <f>C165*AA160</f>
        <v>10.284553920000002</v>
      </c>
      <c r="Q160" t="str">
        <f t="shared" si="20"/>
        <v>m3</v>
      </c>
      <c r="R160" t="str">
        <f>X160</f>
        <v>Celling, uklassificeret træ</v>
      </c>
      <c r="S160" s="61">
        <f t="shared" si="21"/>
        <v>4.0580997996509928E-4</v>
      </c>
      <c r="U160" s="61">
        <f t="shared" si="22"/>
        <v>1.9805269886046814E-5</v>
      </c>
      <c r="X160" s="108" t="s">
        <v>275</v>
      </c>
      <c r="Y160" s="102">
        <v>50</v>
      </c>
      <c r="Z160" s="98">
        <f t="shared" si="13"/>
        <v>2.12</v>
      </c>
      <c r="AA160">
        <v>2</v>
      </c>
    </row>
    <row r="161" spans="1:27" x14ac:dyDescent="0.25">
      <c r="A161" s="59" t="s">
        <v>548</v>
      </c>
      <c r="B161" s="59"/>
      <c r="C161" s="71"/>
      <c r="D161" s="59"/>
      <c r="E161" s="59"/>
      <c r="F161" s="59"/>
      <c r="G161" s="59"/>
      <c r="H161" s="70"/>
      <c r="N161" s="58" t="str">
        <f t="shared" si="19"/>
        <v>Motar, plaster</v>
      </c>
      <c r="O161" t="str">
        <f t="shared" si="19"/>
        <v xml:space="preserve">Lime </v>
      </c>
      <c r="P161" s="68">
        <f>C166*AA158</f>
        <v>6556.4031240000004</v>
      </c>
      <c r="Q161" t="str">
        <f t="shared" si="20"/>
        <v xml:space="preserve">kg </v>
      </c>
      <c r="R161" t="str">
        <f>X158</f>
        <v>Celling, påbygget, kalkmørtel</v>
      </c>
      <c r="S161" s="61">
        <f t="shared" si="21"/>
        <v>0.25870386222775077</v>
      </c>
      <c r="U161" s="61">
        <f t="shared" si="22"/>
        <v>1.2625859552354844E-2</v>
      </c>
      <c r="X161" s="108" t="s">
        <v>282</v>
      </c>
      <c r="Y161" s="102">
        <v>30</v>
      </c>
      <c r="Z161" s="98">
        <f t="shared" si="13"/>
        <v>3.5333333333333332</v>
      </c>
      <c r="AA161">
        <v>3</v>
      </c>
    </row>
    <row r="162" spans="1:27" x14ac:dyDescent="0.25">
      <c r="A162" s="58" t="s">
        <v>549</v>
      </c>
      <c r="B162" t="s">
        <v>539</v>
      </c>
      <c r="C162" s="68">
        <f>AY66+AY67+BB79+BF119</f>
        <v>11.841027500000004</v>
      </c>
      <c r="D162" t="s">
        <v>21</v>
      </c>
      <c r="E162" s="61">
        <f t="shared" ref="E162:E169" si="23">C162/$B$129/$AD$134</f>
        <v>4.6722562494389556E-4</v>
      </c>
      <c r="H162" s="61">
        <f>E162/($E$129*$G$129)</f>
        <v>2.2802617127569326E-5</v>
      </c>
      <c r="N162" s="58" t="str">
        <f t="shared" si="19"/>
        <v>Floor boards</v>
      </c>
      <c r="O162" t="str">
        <f t="shared" si="19"/>
        <v>Wood</v>
      </c>
      <c r="P162" s="68">
        <f>C167*AA155</f>
        <v>9.8218731600000009</v>
      </c>
      <c r="Q162" t="str">
        <f t="shared" si="20"/>
        <v>m3</v>
      </c>
      <c r="R162" t="str">
        <f>X155</f>
        <v>Floor, uklassficieret træ</v>
      </c>
      <c r="S162" s="61">
        <f t="shared" si="21"/>
        <v>3.8755343024924759E-4</v>
      </c>
      <c r="U162" s="61">
        <f t="shared" si="22"/>
        <v>1.8914271852086265E-5</v>
      </c>
      <c r="X162" s="108" t="s">
        <v>293</v>
      </c>
      <c r="Y162" s="102">
        <v>50</v>
      </c>
      <c r="Z162" s="98">
        <f t="shared" si="13"/>
        <v>2.12</v>
      </c>
      <c r="AA162">
        <v>2</v>
      </c>
    </row>
    <row r="163" spans="1:27" x14ac:dyDescent="0.25">
      <c r="A163" s="58" t="s">
        <v>604</v>
      </c>
      <c r="B163" t="s">
        <v>539</v>
      </c>
      <c r="C163" s="68">
        <f>BJ36</f>
        <v>2.1583333333333337</v>
      </c>
      <c r="D163" t="s">
        <v>21</v>
      </c>
      <c r="E163" s="61">
        <f t="shared" si="23"/>
        <v>8.516394717467784E-5</v>
      </c>
      <c r="H163" s="61">
        <f t="shared" ref="H163:H169" si="24">E163/($E$129*$G$129)</f>
        <v>4.1563663823659266E-6</v>
      </c>
      <c r="N163" s="104"/>
      <c r="O163" s="42"/>
      <c r="P163" s="105"/>
      <c r="Q163" s="42"/>
      <c r="R163" s="42"/>
      <c r="S163" s="61"/>
      <c r="T163" s="42"/>
      <c r="U163" s="107"/>
      <c r="W163" s="61"/>
      <c r="X163" s="108" t="s">
        <v>300</v>
      </c>
      <c r="Y163" s="102">
        <v>100</v>
      </c>
      <c r="Z163" s="98">
        <f t="shared" si="13"/>
        <v>1.06</v>
      </c>
      <c r="AA163">
        <v>1</v>
      </c>
    </row>
    <row r="164" spans="1:27" x14ac:dyDescent="0.25">
      <c r="A164" s="58" t="s">
        <v>834</v>
      </c>
      <c r="B164" t="s">
        <v>835</v>
      </c>
      <c r="C164" s="68">
        <f>BJ37</f>
        <v>22792.000000000004</v>
      </c>
      <c r="D164" t="s">
        <v>119</v>
      </c>
      <c r="E164" s="61">
        <f t="shared" si="23"/>
        <v>0.89933128216459812</v>
      </c>
      <c r="H164" s="61">
        <f t="shared" si="24"/>
        <v>4.3891228997784186E-2</v>
      </c>
      <c r="N164" s="58" t="str">
        <f>A169</f>
        <v>Reed matting (Rørvæv)</v>
      </c>
      <c r="O164" t="s">
        <v>1464</v>
      </c>
      <c r="P164" s="68">
        <f>C169*AA158</f>
        <v>77.1341544</v>
      </c>
      <c r="Q164" t="str">
        <f>D169</f>
        <v>kg</v>
      </c>
      <c r="R164" t="str">
        <f>X158</f>
        <v>Celling, påbygget, kalkmørtel</v>
      </c>
      <c r="S164" s="61">
        <f>P164/$B$129/$AD$134</f>
        <v>3.0435748497382445E-3</v>
      </c>
      <c r="U164" s="61">
        <f t="shared" si="22"/>
        <v>1.4853952414535111E-4</v>
      </c>
      <c r="X164" s="108" t="s">
        <v>310</v>
      </c>
      <c r="Y164" s="102">
        <v>120</v>
      </c>
      <c r="Z164" s="98">
        <f t="shared" si="13"/>
        <v>0.8833333333333333</v>
      </c>
    </row>
    <row r="165" spans="1:27" x14ac:dyDescent="0.25">
      <c r="A165" s="58" t="s">
        <v>550</v>
      </c>
      <c r="B165" t="s">
        <v>539</v>
      </c>
      <c r="C165" s="68">
        <f>BN36</f>
        <v>5.1422769600000011</v>
      </c>
      <c r="D165" t="s">
        <v>21</v>
      </c>
      <c r="E165" s="61">
        <f t="shared" si="23"/>
        <v>2.0290498998254964E-4</v>
      </c>
      <c r="H165" s="61">
        <f t="shared" si="24"/>
        <v>9.902634943023407E-6</v>
      </c>
      <c r="P165" s="68"/>
      <c r="U165" s="61"/>
      <c r="X165" s="108" t="s">
        <v>321</v>
      </c>
      <c r="Y165" s="102">
        <v>80</v>
      </c>
      <c r="Z165" s="98">
        <f t="shared" si="13"/>
        <v>1.325</v>
      </c>
      <c r="AA165">
        <v>1</v>
      </c>
    </row>
    <row r="166" spans="1:27" x14ac:dyDescent="0.25">
      <c r="A166" s="58" t="s">
        <v>1008</v>
      </c>
      <c r="B166" t="s">
        <v>536</v>
      </c>
      <c r="C166" s="68">
        <f>BN41</f>
        <v>6556.4031240000004</v>
      </c>
      <c r="D166" t="s">
        <v>52</v>
      </c>
      <c r="E166" s="61">
        <f t="shared" si="23"/>
        <v>0.25870386222775077</v>
      </c>
      <c r="H166" s="61">
        <f t="shared" si="24"/>
        <v>1.2625859552354844E-2</v>
      </c>
      <c r="N166" s="59" t="str">
        <f>A171</f>
        <v>Roof</v>
      </c>
      <c r="O166" s="59"/>
      <c r="P166" s="71"/>
      <c r="Q166" s="59"/>
      <c r="R166" s="59"/>
      <c r="S166" s="73"/>
      <c r="T166" s="59"/>
      <c r="U166" s="70"/>
      <c r="X166" s="108" t="s">
        <v>329</v>
      </c>
      <c r="Y166" s="102">
        <v>80</v>
      </c>
      <c r="Z166" s="98">
        <f t="shared" si="13"/>
        <v>1.325</v>
      </c>
      <c r="AA166">
        <v>1</v>
      </c>
    </row>
    <row r="167" spans="1:27" x14ac:dyDescent="0.25">
      <c r="A167" s="58" t="s">
        <v>551</v>
      </c>
      <c r="B167" t="s">
        <v>539</v>
      </c>
      <c r="C167" s="68">
        <f>BN26</f>
        <v>9.8218731600000009</v>
      </c>
      <c r="D167" t="s">
        <v>21</v>
      </c>
      <c r="E167" s="61">
        <f t="shared" si="23"/>
        <v>3.8755343024924759E-4</v>
      </c>
      <c r="H167" s="61">
        <f>E167/($E$129*$G$129)</f>
        <v>1.8914271852086265E-5</v>
      </c>
      <c r="N167" s="58"/>
      <c r="P167" s="68"/>
      <c r="S167" s="69"/>
      <c r="U167" s="61"/>
      <c r="X167" s="108" t="s">
        <v>339</v>
      </c>
      <c r="Y167" s="102">
        <v>50</v>
      </c>
      <c r="Z167" s="98">
        <f t="shared" si="13"/>
        <v>2.12</v>
      </c>
      <c r="AA167">
        <v>2</v>
      </c>
    </row>
    <row r="168" spans="1:27" x14ac:dyDescent="0.25">
      <c r="A168" s="58" t="s">
        <v>155</v>
      </c>
      <c r="B168" t="s">
        <v>552</v>
      </c>
      <c r="C168" s="68">
        <f>BJ45</f>
        <v>228.72937500000003</v>
      </c>
      <c r="D168" t="s">
        <v>119</v>
      </c>
      <c r="E168" s="61">
        <f t="shared" si="23"/>
        <v>9.0252493018364837E-3</v>
      </c>
      <c r="H168" s="61">
        <f t="shared" si="24"/>
        <v>4.4047092737122901E-4</v>
      </c>
      <c r="N168" s="58" t="str">
        <f>A173</f>
        <v>Tile</v>
      </c>
      <c r="O168" t="str">
        <f>B173</f>
        <v>Slate</v>
      </c>
      <c r="P168" s="68">
        <f>(C173*AA177)</f>
        <v>2766.4158068398692</v>
      </c>
      <c r="Q168" t="str">
        <f>D173</f>
        <v>kg</v>
      </c>
      <c r="R168" t="str">
        <f>X177</f>
        <v>Roof, natursten</v>
      </c>
      <c r="S168" s="61">
        <f>P168/$B$129/$AD$134</f>
        <v>0.10915778670435723</v>
      </c>
      <c r="U168" s="61">
        <f t="shared" ref="U168" si="25">S168/($E$129*$G$129)</f>
        <v>5.3273687996269999E-3</v>
      </c>
      <c r="X168" s="108" t="s">
        <v>346</v>
      </c>
      <c r="Y168" s="102">
        <v>50</v>
      </c>
      <c r="Z168" s="98">
        <f t="shared" si="13"/>
        <v>2.12</v>
      </c>
      <c r="AA168">
        <v>2</v>
      </c>
    </row>
    <row r="169" spans="1:27" x14ac:dyDescent="0.25">
      <c r="A169" s="110" t="s">
        <v>1286</v>
      </c>
      <c r="B169" t="s">
        <v>861</v>
      </c>
      <c r="C169" s="68">
        <f>BN45</f>
        <v>77.1341544</v>
      </c>
      <c r="D169" t="s">
        <v>119</v>
      </c>
      <c r="E169" s="61">
        <f t="shared" si="23"/>
        <v>3.0435748497382445E-3</v>
      </c>
      <c r="H169" s="61">
        <f t="shared" si="24"/>
        <v>1.4853952414535111E-4</v>
      </c>
      <c r="P169" s="68"/>
      <c r="S169" s="69"/>
      <c r="U169" s="61"/>
      <c r="X169" s="108" t="s">
        <v>355</v>
      </c>
      <c r="Y169" s="102">
        <v>80</v>
      </c>
      <c r="Z169" s="98">
        <f t="shared" si="13"/>
        <v>1.325</v>
      </c>
      <c r="AA169">
        <v>1</v>
      </c>
    </row>
    <row r="170" spans="1:27" x14ac:dyDescent="0.25">
      <c r="C170" s="68"/>
      <c r="E170" s="61"/>
      <c r="H170" s="61"/>
      <c r="N170" s="59" t="str">
        <f>A175</f>
        <v>Stairs</v>
      </c>
      <c r="O170" s="59"/>
      <c r="P170" s="71"/>
      <c r="Q170" s="59"/>
      <c r="R170" s="59"/>
      <c r="S170" s="73"/>
      <c r="T170" s="59"/>
      <c r="U170" s="70"/>
      <c r="X170" s="108" t="s">
        <v>362</v>
      </c>
      <c r="Y170" s="102">
        <v>50</v>
      </c>
      <c r="Z170" s="98">
        <f t="shared" si="13"/>
        <v>2.12</v>
      </c>
      <c r="AA170">
        <v>2</v>
      </c>
    </row>
    <row r="171" spans="1:27" x14ac:dyDescent="0.25">
      <c r="A171" s="59" t="s">
        <v>70</v>
      </c>
      <c r="B171" s="59"/>
      <c r="C171" s="71"/>
      <c r="D171" s="59"/>
      <c r="E171" s="59"/>
      <c r="F171" s="59"/>
      <c r="G171" s="59"/>
      <c r="H171" s="70"/>
      <c r="N171" s="58" t="str">
        <f>A176</f>
        <v>Staircase</v>
      </c>
      <c r="O171" t="str">
        <f>B176</f>
        <v>wood</v>
      </c>
      <c r="P171" s="68">
        <f>C176*AA138</f>
        <v>2.5454460000000001</v>
      </c>
      <c r="Q171" t="str">
        <f>D176</f>
        <v>m3</v>
      </c>
      <c r="R171" t="str">
        <f>X138</f>
        <v>Stairs, wood</v>
      </c>
      <c r="S171" s="61">
        <f>P171/$B$129/$AD$134</f>
        <v>1.0043871599073127E-4</v>
      </c>
      <c r="U171" s="61">
        <f t="shared" ref="U171" si="26">S171/($E$129*$G$129)</f>
        <v>4.9018407023294906E-6</v>
      </c>
      <c r="X171" s="108" t="s">
        <v>370</v>
      </c>
      <c r="Y171" s="102">
        <v>80</v>
      </c>
      <c r="Z171" s="98">
        <f t="shared" si="13"/>
        <v>1.325</v>
      </c>
      <c r="AA171">
        <v>1</v>
      </c>
    </row>
    <row r="172" spans="1:27" x14ac:dyDescent="0.25">
      <c r="A172" s="58" t="s">
        <v>257</v>
      </c>
      <c r="B172" t="s">
        <v>539</v>
      </c>
      <c r="C172" s="68">
        <f>X46</f>
        <v>6.5230687077196112</v>
      </c>
      <c r="D172" t="s">
        <v>21</v>
      </c>
      <c r="E172" s="61">
        <f>C172/$B$129/$AD$134</f>
        <v>2.5738854618117076E-4</v>
      </c>
      <c r="H172" s="61">
        <f t="shared" ref="H172:H173" si="27">E172/($E$129*$G$129)</f>
        <v>1.2561666480291397E-5</v>
      </c>
      <c r="P172" s="68"/>
      <c r="S172" s="69"/>
      <c r="U172" s="61"/>
      <c r="X172" s="108" t="s">
        <v>378</v>
      </c>
      <c r="Y172" s="102">
        <v>60</v>
      </c>
      <c r="Z172" s="98">
        <f t="shared" si="13"/>
        <v>1.7666666666666666</v>
      </c>
      <c r="AA172">
        <v>1</v>
      </c>
    </row>
    <row r="173" spans="1:27" x14ac:dyDescent="0.25">
      <c r="A173" s="58" t="s">
        <v>541</v>
      </c>
      <c r="B173" t="s">
        <v>1465</v>
      </c>
      <c r="C173" s="68">
        <f>T51</f>
        <v>2766.4158068398692</v>
      </c>
      <c r="D173" t="s">
        <v>119</v>
      </c>
      <c r="E173" s="61">
        <f>C173/$B$129/$AD$134</f>
        <v>0.10915778670435723</v>
      </c>
      <c r="H173" s="61">
        <f t="shared" si="27"/>
        <v>5.3273687996269999E-3</v>
      </c>
      <c r="N173" s="59" t="str">
        <f>A178</f>
        <v>Drain pipes</v>
      </c>
      <c r="O173" s="59"/>
      <c r="P173" s="71"/>
      <c r="Q173" s="59"/>
      <c r="R173" s="59"/>
      <c r="S173" s="73"/>
      <c r="T173" s="59"/>
      <c r="U173" s="70"/>
      <c r="X173" s="108" t="s">
        <v>386</v>
      </c>
      <c r="Y173" s="102">
        <v>40</v>
      </c>
      <c r="Z173" s="98">
        <f t="shared" si="13"/>
        <v>2.65</v>
      </c>
      <c r="AA173">
        <v>2</v>
      </c>
    </row>
    <row r="174" spans="1:27" x14ac:dyDescent="0.25">
      <c r="C174" s="68"/>
      <c r="E174" s="61"/>
      <c r="H174" s="61"/>
      <c r="N174" s="58" t="str">
        <f>A179</f>
        <v>Drain pipe</v>
      </c>
      <c r="O174" t="str">
        <f>B179</f>
        <v>Zinc</v>
      </c>
      <c r="P174" s="68">
        <f>(C179*AA184)</f>
        <v>427.43900976716969</v>
      </c>
      <c r="Q174" t="str">
        <f>D179</f>
        <v>kg</v>
      </c>
      <c r="R174" t="str">
        <f>X184</f>
        <v>Tagrender og nedløbsrør, zink og bly</v>
      </c>
      <c r="S174" s="61">
        <f>P174/$B$129/AD151</f>
        <v>3.0824020910478214E-2</v>
      </c>
      <c r="U174" s="61">
        <f t="shared" ref="U174:U177" si="28">S174/($E$129*$G$129)</f>
        <v>1.5043446027563792E-3</v>
      </c>
      <c r="X174" s="108" t="s">
        <v>392</v>
      </c>
      <c r="Y174" s="102">
        <v>60</v>
      </c>
      <c r="Z174" s="98">
        <f t="shared" si="13"/>
        <v>1.7666666666666666</v>
      </c>
      <c r="AA174">
        <v>1</v>
      </c>
    </row>
    <row r="175" spans="1:27" x14ac:dyDescent="0.25">
      <c r="A175" s="59" t="s">
        <v>553</v>
      </c>
      <c r="B175" s="59"/>
      <c r="C175" s="71"/>
      <c r="D175" s="59"/>
      <c r="E175" s="59"/>
      <c r="F175" s="59"/>
      <c r="G175" s="59"/>
      <c r="H175" s="70"/>
      <c r="N175" s="58"/>
      <c r="O175" t="s">
        <v>1466</v>
      </c>
      <c r="P175" s="68">
        <f>(C179/$BR$53)*O193*(AA185+1)</f>
        <v>110.26044833472483</v>
      </c>
      <c r="Q175" t="s">
        <v>119</v>
      </c>
      <c r="R175" t="str">
        <f>X185</f>
        <v>Tagrender og nedløbsrør, plast/ skumplast</v>
      </c>
      <c r="S175" s="61">
        <f>P175/$B$129/$AD$142</f>
        <v>9.6077489355993126E-3</v>
      </c>
      <c r="U175" s="61">
        <f t="shared" si="28"/>
        <v>4.688994112054325E-4</v>
      </c>
      <c r="X175" s="108" t="s">
        <v>398</v>
      </c>
      <c r="Y175" s="102">
        <v>80</v>
      </c>
      <c r="Z175" s="98">
        <f t="shared" si="13"/>
        <v>1.325</v>
      </c>
      <c r="AA175">
        <v>1</v>
      </c>
    </row>
    <row r="176" spans="1:27" x14ac:dyDescent="0.25">
      <c r="A176" s="58" t="s">
        <v>554</v>
      </c>
      <c r="B176" t="s">
        <v>555</v>
      </c>
      <c r="C176" s="68">
        <f>AU71</f>
        <v>2.5454460000000001</v>
      </c>
      <c r="D176" t="s">
        <v>21</v>
      </c>
      <c r="E176" s="61">
        <f>C176/$B$129/$AD$134</f>
        <v>1.0043871599073127E-4</v>
      </c>
      <c r="H176" s="61">
        <f t="shared" ref="H176" si="29">E176/($E$129*$G$129)</f>
        <v>4.9018407023294906E-6</v>
      </c>
      <c r="N176" s="58" t="str">
        <f>A180</f>
        <v>Gutter</v>
      </c>
      <c r="O176" t="str">
        <f>B180</f>
        <v>Zinc</v>
      </c>
      <c r="P176" s="68">
        <f>(C180*AA184)</f>
        <v>185.20626567603932</v>
      </c>
      <c r="Q176" t="str">
        <f>D180</f>
        <v>kg</v>
      </c>
      <c r="R176" t="str">
        <f>X184</f>
        <v>Tagrender og nedløbsrør, zink og bly</v>
      </c>
      <c r="S176" s="61">
        <f>P176/$B$129/AD151</f>
        <v>1.335582779180464E-2</v>
      </c>
      <c r="U176" s="61">
        <f t="shared" si="28"/>
        <v>6.5182175655464317E-4</v>
      </c>
      <c r="X176" s="111" t="s">
        <v>404</v>
      </c>
      <c r="Y176" s="112">
        <v>60</v>
      </c>
      <c r="Z176" s="98">
        <f t="shared" si="13"/>
        <v>1.7666666666666666</v>
      </c>
      <c r="AA176">
        <v>1</v>
      </c>
    </row>
    <row r="177" spans="1:27" x14ac:dyDescent="0.25">
      <c r="C177" s="68"/>
      <c r="E177" s="61"/>
      <c r="H177" s="61"/>
      <c r="N177" s="58"/>
      <c r="O177" t="s">
        <v>1466</v>
      </c>
      <c r="P177" s="68">
        <f>(C180/$BR$53)*O193*(AA185+1)</f>
        <v>47.775063625951539</v>
      </c>
      <c r="Q177" t="s">
        <v>119</v>
      </c>
      <c r="R177" t="str">
        <f>X185</f>
        <v>Tagrender og nedløbsrør, plast/ skumplast</v>
      </c>
      <c r="S177" s="61">
        <f>P177/$B$129/$AD$142</f>
        <v>4.1629688944033339E-3</v>
      </c>
      <c r="U177" s="61">
        <f t="shared" si="28"/>
        <v>2.0317076107385717E-4</v>
      </c>
      <c r="X177" s="113" t="s">
        <v>412</v>
      </c>
      <c r="Y177" s="97">
        <v>80</v>
      </c>
      <c r="Z177" s="98">
        <f t="shared" si="13"/>
        <v>1.325</v>
      </c>
      <c r="AA177">
        <v>1</v>
      </c>
    </row>
    <row r="178" spans="1:27" x14ac:dyDescent="0.25">
      <c r="A178" s="59" t="s">
        <v>559</v>
      </c>
      <c r="B178" s="59"/>
      <c r="C178" s="71"/>
      <c r="D178" s="59"/>
      <c r="E178" s="59"/>
      <c r="F178" s="59"/>
      <c r="G178" s="59"/>
      <c r="H178" s="70"/>
      <c r="P178" s="68"/>
      <c r="S178" s="69"/>
      <c r="U178" s="61"/>
      <c r="X178" s="108" t="s">
        <v>854</v>
      </c>
      <c r="Y178" s="102">
        <v>50</v>
      </c>
      <c r="Z178" s="98">
        <f t="shared" si="13"/>
        <v>2.12</v>
      </c>
      <c r="AA178">
        <v>2</v>
      </c>
    </row>
    <row r="179" spans="1:27" x14ac:dyDescent="0.25">
      <c r="A179" s="58" t="s">
        <v>560</v>
      </c>
      <c r="B179" t="s">
        <v>561</v>
      </c>
      <c r="C179" s="68">
        <f>BR55</f>
        <v>427.43900976716969</v>
      </c>
      <c r="D179" t="s">
        <v>119</v>
      </c>
      <c r="E179" s="61">
        <f>C179/$B$129/$AD$134</f>
        <v>1.6865973705733363E-2</v>
      </c>
      <c r="H179" s="61">
        <f>E179/($E$129*$G$129)</f>
        <v>8.2313195245160376E-4</v>
      </c>
      <c r="N179" s="59" t="str">
        <f>A182</f>
        <v>Chimney</v>
      </c>
      <c r="O179" s="59"/>
      <c r="P179" s="71"/>
      <c r="Q179" s="59"/>
      <c r="R179" s="59"/>
      <c r="S179" s="73"/>
      <c r="T179" s="59"/>
      <c r="U179" s="70"/>
      <c r="X179" s="108" t="s">
        <v>429</v>
      </c>
      <c r="Y179" s="102">
        <v>50</v>
      </c>
      <c r="Z179" s="98">
        <f t="shared" si="13"/>
        <v>2.12</v>
      </c>
      <c r="AA179">
        <v>2</v>
      </c>
    </row>
    <row r="180" spans="1:27" x14ac:dyDescent="0.25">
      <c r="A180" s="58" t="s">
        <v>565</v>
      </c>
      <c r="B180" t="s">
        <v>561</v>
      </c>
      <c r="C180" s="68">
        <f>BR54</f>
        <v>185.20626567603932</v>
      </c>
      <c r="D180" t="s">
        <v>119</v>
      </c>
      <c r="E180" s="61">
        <f>C180/$B$129/$AD$134</f>
        <v>7.3079057728742368E-3</v>
      </c>
      <c r="H180" s="61">
        <f t="shared" ref="H180" si="30">E180/($E$129*$G$129)</f>
        <v>3.5665718754876701E-4</v>
      </c>
      <c r="N180" s="58" t="str">
        <f>A183</f>
        <v>Brick</v>
      </c>
      <c r="O180" t="str">
        <f>B183</f>
        <v>Tile</v>
      </c>
      <c r="P180" s="68">
        <f>(C183*AA166)</f>
        <v>4960</v>
      </c>
      <c r="Q180" t="str">
        <f>D183</f>
        <v>kg</v>
      </c>
      <c r="R180" t="str">
        <f>X166</f>
        <v>Exterior wall, plaster, tegl</v>
      </c>
      <c r="S180" s="61">
        <f>P180/$B$129/$AD$134</f>
        <v>0.19571266933732914</v>
      </c>
      <c r="U180" s="61">
        <f t="shared" ref="U180:U181" si="31">S180/($E$129*$G$129)</f>
        <v>9.5516188061166001E-3</v>
      </c>
      <c r="X180" s="108" t="s">
        <v>434</v>
      </c>
      <c r="Y180" s="102">
        <v>25</v>
      </c>
      <c r="Z180" s="98">
        <f t="shared" si="13"/>
        <v>4.24</v>
      </c>
      <c r="AA180">
        <v>4</v>
      </c>
    </row>
    <row r="181" spans="1:27" x14ac:dyDescent="0.25">
      <c r="C181" s="68"/>
      <c r="E181" s="61"/>
      <c r="G181">
        <f>C183/L202</f>
        <v>3.0852268553190929E-2</v>
      </c>
      <c r="H181" s="61"/>
      <c r="N181" s="58" t="str">
        <f>A184</f>
        <v>Mortar</v>
      </c>
      <c r="O181" t="str">
        <f>B184</f>
        <v>Lime</v>
      </c>
      <c r="P181" s="68">
        <f>(C184*AA166)</f>
        <v>1063.6462079999997</v>
      </c>
      <c r="Q181" t="str">
        <f>D184</f>
        <v>kg</v>
      </c>
      <c r="R181" t="str">
        <f>X166</f>
        <v>Exterior wall, plaster, tegl</v>
      </c>
      <c r="S181" s="61">
        <f>P181/$B$129/$AD$134</f>
        <v>4.1969564233509664E-2</v>
      </c>
      <c r="U181" s="61">
        <f t="shared" si="31"/>
        <v>2.0482949845539123E-3</v>
      </c>
      <c r="X181" s="108" t="s">
        <v>439</v>
      </c>
      <c r="Y181" s="102">
        <v>60</v>
      </c>
      <c r="Z181" s="98">
        <f>$AD$138/Y181</f>
        <v>1.1666666666666667</v>
      </c>
      <c r="AA181">
        <v>1</v>
      </c>
    </row>
    <row r="182" spans="1:27" x14ac:dyDescent="0.25">
      <c r="A182" s="59" t="s">
        <v>72</v>
      </c>
      <c r="B182" s="59"/>
      <c r="C182" s="71"/>
      <c r="D182" s="59"/>
      <c r="E182" s="59"/>
      <c r="F182" s="59"/>
      <c r="G182" s="59"/>
      <c r="H182" s="70"/>
      <c r="P182" s="68"/>
      <c r="U182" s="61"/>
      <c r="X182" s="108" t="s">
        <v>446</v>
      </c>
      <c r="Y182" s="102">
        <v>30</v>
      </c>
      <c r="Z182" s="98">
        <f>$AD$134/Y182</f>
        <v>3.5333333333333332</v>
      </c>
      <c r="AA182">
        <v>3</v>
      </c>
    </row>
    <row r="183" spans="1:27" x14ac:dyDescent="0.25">
      <c r="A183" s="58" t="s">
        <v>556</v>
      </c>
      <c r="B183" t="s">
        <v>541</v>
      </c>
      <c r="C183" s="68">
        <f>AQ35</f>
        <v>4960</v>
      </c>
      <c r="D183" t="s">
        <v>119</v>
      </c>
      <c r="E183" s="61">
        <f>C183/$B$129/$AD$134</f>
        <v>0.19571266933732914</v>
      </c>
      <c r="H183" s="61">
        <f t="shared" ref="H183:H184" si="32">E183/($E$129*$G$129)</f>
        <v>9.5516188061166001E-3</v>
      </c>
      <c r="N183" s="59" t="s">
        <v>557</v>
      </c>
      <c r="O183" s="59"/>
      <c r="P183" s="71"/>
      <c r="Q183" s="59"/>
      <c r="R183" s="59"/>
      <c r="S183" s="59"/>
      <c r="T183" s="59"/>
      <c r="U183" s="70"/>
      <c r="X183" s="108" t="s">
        <v>451</v>
      </c>
      <c r="Y183" s="102">
        <v>60</v>
      </c>
      <c r="Z183" s="98">
        <f>$AD$134/Y183</f>
        <v>1.7666666666666666</v>
      </c>
      <c r="AA183">
        <v>1</v>
      </c>
    </row>
    <row r="184" spans="1:27" x14ac:dyDescent="0.25">
      <c r="A184" s="58" t="s">
        <v>537</v>
      </c>
      <c r="B184" t="s">
        <v>538</v>
      </c>
      <c r="C184" s="68">
        <f>AQ38</f>
        <v>1063.6462079999997</v>
      </c>
      <c r="D184" t="s">
        <v>119</v>
      </c>
      <c r="E184" s="61">
        <f>C184/$B$129/$AD$134</f>
        <v>4.1969564233509664E-2</v>
      </c>
      <c r="H184" s="61">
        <f t="shared" si="32"/>
        <v>2.0482949845539123E-3</v>
      </c>
      <c r="N184" s="58" t="s">
        <v>557</v>
      </c>
      <c r="O184" t="s">
        <v>552</v>
      </c>
      <c r="P184" s="68">
        <f>(B129*('[1]Typehus O2010'!M75/'[1]Typehus O2010'!L52))*(AA186)</f>
        <v>0</v>
      </c>
      <c r="Q184" t="s">
        <v>119</v>
      </c>
      <c r="R184" t="str">
        <f>X186</f>
        <v>Rør, jen, stål, rustfrit stål</v>
      </c>
      <c r="S184" s="61">
        <f>P184/$B$129/AD151</f>
        <v>0</v>
      </c>
      <c r="U184" s="61">
        <f t="shared" ref="U184:U185" si="33">S184/($E$129*$G$129)</f>
        <v>0</v>
      </c>
      <c r="X184" s="108" t="s">
        <v>458</v>
      </c>
      <c r="Y184" s="102">
        <v>40</v>
      </c>
      <c r="Z184" s="98">
        <f>(AD141-AD132)/Y184</f>
        <v>1.45</v>
      </c>
      <c r="AA184">
        <v>1</v>
      </c>
    </row>
    <row r="185" spans="1:27" x14ac:dyDescent="0.25">
      <c r="H185" s="69"/>
      <c r="N185" s="58"/>
      <c r="O185" t="s">
        <v>1466</v>
      </c>
      <c r="P185" s="68">
        <f>B129*('[1]Typehus O2010'!M108/'[1]Typehus O2010'!L52)*(AA188+1)</f>
        <v>74.980740198723581</v>
      </c>
      <c r="Q185" t="s">
        <v>119</v>
      </c>
      <c r="R185" t="str">
        <f>X188</f>
        <v>Rør, plast/skumplast</v>
      </c>
      <c r="S185" s="61">
        <f>P185/$B$129/$AD$142</f>
        <v>6.5335860475352102E-3</v>
      </c>
      <c r="U185" s="61">
        <f t="shared" si="33"/>
        <v>3.188670594209473E-4</v>
      </c>
      <c r="X185" s="108" t="s">
        <v>462</v>
      </c>
      <c r="Y185" s="102">
        <v>30</v>
      </c>
      <c r="Z185" s="98">
        <f>$AD$142/Y185</f>
        <v>1.6</v>
      </c>
      <c r="AA185">
        <v>1</v>
      </c>
    </row>
    <row r="186" spans="1:27" x14ac:dyDescent="0.25">
      <c r="A186" s="59" t="s">
        <v>557</v>
      </c>
      <c r="B186" s="59"/>
      <c r="C186" s="59"/>
      <c r="D186" s="59"/>
      <c r="E186" s="59"/>
      <c r="F186" s="59"/>
      <c r="G186" s="59"/>
      <c r="H186" s="59"/>
      <c r="X186" s="108" t="s">
        <v>470</v>
      </c>
      <c r="Y186" s="102">
        <v>60</v>
      </c>
      <c r="Z186" s="98">
        <f>((AD141-AD132))/Y186</f>
        <v>0.96666666666666667</v>
      </c>
      <c r="AA186">
        <v>0</v>
      </c>
    </row>
    <row r="187" spans="1:27" x14ac:dyDescent="0.25">
      <c r="A187" s="58" t="s">
        <v>557</v>
      </c>
      <c r="B187" t="s">
        <v>552</v>
      </c>
      <c r="C187" s="68">
        <f>(B129*('[1]Typehus O2010'!M75/'[1]Typehus O2010'!L52))</f>
        <v>298.11085629905608</v>
      </c>
      <c r="D187" t="s">
        <v>119</v>
      </c>
      <c r="O187" t="s">
        <v>539</v>
      </c>
      <c r="P187" s="68">
        <f>P141+P143+P145+P152+P157+P158+P160+P162+P171</f>
        <v>46.026833913333341</v>
      </c>
      <c r="Q187" t="s">
        <v>21</v>
      </c>
      <c r="X187" s="108" t="s">
        <v>474</v>
      </c>
      <c r="Y187" s="102">
        <v>60</v>
      </c>
      <c r="Z187" s="98">
        <f>$AD$138/Y187</f>
        <v>1.1666666666666667</v>
      </c>
      <c r="AA187">
        <v>1</v>
      </c>
    </row>
    <row r="188" spans="1:27" x14ac:dyDescent="0.25">
      <c r="O188" t="s">
        <v>1011</v>
      </c>
      <c r="P188" s="68">
        <f>SUM(P133:P138)+P147+SUM(P150:P154)+P159+P161+SUM(P164:P168)+SUM(P174:P185)</f>
        <v>193260.227443479</v>
      </c>
      <c r="Q188" t="s">
        <v>119</v>
      </c>
      <c r="X188" s="108" t="s">
        <v>1467</v>
      </c>
      <c r="Y188" s="102">
        <v>60</v>
      </c>
      <c r="Z188" s="98">
        <f>$AD$142/Y188</f>
        <v>0.8</v>
      </c>
      <c r="AA188">
        <v>0</v>
      </c>
    </row>
    <row r="189" spans="1:27" x14ac:dyDescent="0.25">
      <c r="C189" s="68"/>
      <c r="O189" t="s">
        <v>1015</v>
      </c>
      <c r="P189">
        <f>(P187*G197)+P188</f>
        <v>217194.18107841234</v>
      </c>
      <c r="Q189" t="s">
        <v>119</v>
      </c>
      <c r="X189" s="108" t="s">
        <v>485</v>
      </c>
      <c r="Y189" s="102">
        <v>80</v>
      </c>
      <c r="Z189" s="98">
        <f>$AD$134/Y189</f>
        <v>1.325</v>
      </c>
      <c r="AA189">
        <v>1</v>
      </c>
    </row>
    <row r="190" spans="1:27" x14ac:dyDescent="0.25">
      <c r="S190" s="69"/>
      <c r="X190" s="108" t="s">
        <v>488</v>
      </c>
      <c r="Y190" s="102">
        <v>15</v>
      </c>
      <c r="Z190" s="98">
        <f>$AD$144/Y190</f>
        <v>5.2</v>
      </c>
      <c r="AA190">
        <v>6</v>
      </c>
    </row>
    <row r="191" spans="1:27" x14ac:dyDescent="0.25">
      <c r="A191" t="s">
        <v>1013</v>
      </c>
      <c r="B191" t="s">
        <v>198</v>
      </c>
      <c r="C191" t="str">
        <f>E131</f>
        <v>[Unit/ liveable m2/year]</v>
      </c>
      <c r="D191" t="s">
        <v>1468</v>
      </c>
      <c r="X191" s="108" t="s">
        <v>929</v>
      </c>
      <c r="Y191" s="102">
        <v>50</v>
      </c>
      <c r="Z191" s="114">
        <f>$AD$134/Y191</f>
        <v>2.12</v>
      </c>
      <c r="AA191">
        <v>2</v>
      </c>
    </row>
    <row r="192" spans="1:27" x14ac:dyDescent="0.25">
      <c r="A192" t="str">
        <f>B133</f>
        <v xml:space="preserve">Tile </v>
      </c>
      <c r="B192" s="68">
        <f>C133+C137+C141+C155+C183+P150+P180</f>
        <v>224370.99361359124</v>
      </c>
      <c r="C192" s="61">
        <f>E133+E137+E141+E155+E183</f>
        <v>7.2420432352253092</v>
      </c>
      <c r="D192" s="61">
        <f>H133+H137+H141+H155+H183</f>
        <v>0.35344281284652557</v>
      </c>
    </row>
    <row r="193" spans="1:16" x14ac:dyDescent="0.25">
      <c r="A193" t="str">
        <f>B134</f>
        <v xml:space="preserve">Lime </v>
      </c>
      <c r="B193" s="68">
        <f>C134+C138+C142+C143+C158+C166+C184+P133+P137+P138+P151+P153+P161+P181+C156</f>
        <v>168060.62874658927</v>
      </c>
      <c r="C193" s="61">
        <f>E184+E166+E156+E158+E143+E142+E138</f>
        <v>2.3981705892581813</v>
      </c>
      <c r="D193" s="61">
        <f>H184+H166+H158+H156+H143+H142+H138+H134</f>
        <v>0.12644458035699466</v>
      </c>
      <c r="N193" t="s">
        <v>573</v>
      </c>
      <c r="O193">
        <f>0.92*10^3</f>
        <v>920</v>
      </c>
      <c r="P193" t="s">
        <v>35</v>
      </c>
    </row>
    <row r="194" spans="1:16" ht="15.75" thickBot="1" x14ac:dyDescent="0.3">
      <c r="A194" t="str">
        <f>B146</f>
        <v xml:space="preserve">Wood </v>
      </c>
      <c r="B194" s="68">
        <f>G199</f>
        <v>46201.77097868087</v>
      </c>
      <c r="C194" s="61">
        <f>E176+E167+E165+E163+E162+E157+E150+E148+E146</f>
        <v>1.4323191045093162E-3</v>
      </c>
      <c r="D194" s="61">
        <f>H176+H172+H167+H165+H163+H162+H157+H150+H148+H146</f>
        <v>8.2464990272839778E-5</v>
      </c>
    </row>
    <row r="195" spans="1:16" x14ac:dyDescent="0.25">
      <c r="A195" t="str">
        <f>B152</f>
        <v>Glass</v>
      </c>
      <c r="B195" s="68">
        <f>C152+P147</f>
        <v>1095.8219999999999</v>
      </c>
      <c r="C195" s="61">
        <f>E152</f>
        <v>1.4413054350710393E-2</v>
      </c>
      <c r="D195" s="61">
        <f>H152</f>
        <v>7.0341895318254714E-4</v>
      </c>
      <c r="K195" s="83" t="s">
        <v>1018</v>
      </c>
      <c r="L195" s="84" t="s">
        <v>1019</v>
      </c>
      <c r="M195" s="85" t="s">
        <v>1020</v>
      </c>
      <c r="N195" s="85" t="s">
        <v>1021</v>
      </c>
      <c r="O195" s="86" t="s">
        <v>1022</v>
      </c>
    </row>
    <row r="196" spans="1:16" x14ac:dyDescent="0.25">
      <c r="A196" t="str">
        <f>B159</f>
        <v>Reed</v>
      </c>
      <c r="B196" s="68">
        <f>C159+C169+P154+P164</f>
        <v>182.6588088</v>
      </c>
      <c r="C196" s="61">
        <f>E169+E159</f>
        <v>3.4169875203579649E-3</v>
      </c>
      <c r="D196" s="61">
        <f>H159+H169</f>
        <v>1.6676366619609395E-4</v>
      </c>
      <c r="K196" s="5" t="s">
        <v>1023</v>
      </c>
      <c r="L196" s="5"/>
      <c r="M196" s="5"/>
      <c r="N196" s="5"/>
      <c r="O196" s="5"/>
    </row>
    <row r="197" spans="1:16" x14ac:dyDescent="0.25">
      <c r="A197" t="str">
        <f>B164</f>
        <v xml:space="preserve">Clay </v>
      </c>
      <c r="B197" s="68">
        <f>C164+P159</f>
        <v>68376.000000000015</v>
      </c>
      <c r="C197" s="61">
        <f>E164</f>
        <v>0.89933128216459812</v>
      </c>
      <c r="D197" s="61">
        <f>H164</f>
        <v>4.3891228997784186E-2</v>
      </c>
      <c r="F197" t="s">
        <v>570</v>
      </c>
      <c r="G197">
        <v>520</v>
      </c>
      <c r="H197" t="s">
        <v>35</v>
      </c>
      <c r="K197" s="5" t="s">
        <v>1025</v>
      </c>
      <c r="L197" s="5"/>
      <c r="M197" s="5"/>
      <c r="N197" s="5"/>
      <c r="O197" s="5"/>
    </row>
    <row r="198" spans="1:16" x14ac:dyDescent="0.25">
      <c r="A198" t="str">
        <f>B168</f>
        <v>Iron</v>
      </c>
      <c r="B198" s="68">
        <f>C168+P184+C187</f>
        <v>526.84023129905609</v>
      </c>
      <c r="C198" s="61">
        <f>E168</f>
        <v>9.0252493018364837E-3</v>
      </c>
      <c r="D198" s="61">
        <f>H168</f>
        <v>4.4047092737122901E-4</v>
      </c>
      <c r="F198" t="s">
        <v>572</v>
      </c>
      <c r="G198" s="68">
        <f>C146+C148+C150+C157+C162+C163+C165+C167+C172+C176+P141+P143+P145+P152+P157+P158+P160+P162+P171</f>
        <v>88.849559574386291</v>
      </c>
      <c r="H198" t="s">
        <v>21</v>
      </c>
      <c r="K198" s="5" t="s">
        <v>1026</v>
      </c>
      <c r="L198" s="5"/>
      <c r="M198" s="5"/>
      <c r="N198" s="5"/>
      <c r="O198" s="5"/>
    </row>
    <row r="199" spans="1:16" x14ac:dyDescent="0.25">
      <c r="A199" t="str">
        <f>B173</f>
        <v>Slate</v>
      </c>
      <c r="B199" s="68">
        <f>C173+P168</f>
        <v>5532.8316136797384</v>
      </c>
      <c r="C199" s="61">
        <f>E173</f>
        <v>0.10915778670435723</v>
      </c>
      <c r="D199" s="61">
        <f>H173</f>
        <v>5.3273687996269999E-3</v>
      </c>
      <c r="F199" t="s">
        <v>575</v>
      </c>
      <c r="G199">
        <f>G197*G198</f>
        <v>46201.77097868087</v>
      </c>
      <c r="H199" t="s">
        <v>119</v>
      </c>
      <c r="K199" s="5" t="s">
        <v>1027</v>
      </c>
      <c r="L199" s="5"/>
      <c r="M199" s="5"/>
      <c r="N199" s="5"/>
      <c r="O199" s="5"/>
    </row>
    <row r="200" spans="1:16" x14ac:dyDescent="0.25">
      <c r="A200" t="s">
        <v>558</v>
      </c>
      <c r="B200" s="68">
        <f>P175+P177+P185</f>
        <v>233.01625215939993</v>
      </c>
      <c r="K200" s="5" t="s">
        <v>1028</v>
      </c>
      <c r="L200" s="5"/>
      <c r="M200" s="5"/>
      <c r="N200" s="5"/>
      <c r="O200" s="5"/>
    </row>
    <row r="201" spans="1:16" x14ac:dyDescent="0.25">
      <c r="A201" t="str">
        <f>B179</f>
        <v>Zinc</v>
      </c>
      <c r="B201" s="68">
        <f>C179+C180+P174+P176</f>
        <v>1225.290550886418</v>
      </c>
      <c r="C201" s="61">
        <f>E179+E180</f>
        <v>2.41738794786076E-2</v>
      </c>
      <c r="D201" s="61">
        <f>H179+H180</f>
        <v>1.1797891400003708E-3</v>
      </c>
      <c r="K201" s="5" t="s">
        <v>1469</v>
      </c>
      <c r="L201" s="5"/>
      <c r="M201" s="87">
        <f>C164</f>
        <v>22792.000000000004</v>
      </c>
      <c r="N201" s="5"/>
      <c r="O201" s="5"/>
    </row>
    <row r="202" spans="1:16" x14ac:dyDescent="0.25">
      <c r="A202" t="s">
        <v>1015</v>
      </c>
      <c r="B202" s="68">
        <f>SUM(B192:B201)</f>
        <v>515805.85279568593</v>
      </c>
      <c r="K202" s="5" t="s">
        <v>1030</v>
      </c>
      <c r="L202" s="87">
        <f>C137+C141+C155+C183</f>
        <v>160766.13593093486</v>
      </c>
      <c r="M202" s="5"/>
      <c r="N202" s="87">
        <f>C133</f>
        <v>22770.957341269841</v>
      </c>
      <c r="O202" s="5"/>
    </row>
    <row r="203" spans="1:16" x14ac:dyDescent="0.25">
      <c r="K203" s="5" t="s">
        <v>1031</v>
      </c>
      <c r="L203" s="5"/>
      <c r="M203" s="5"/>
      <c r="N203" s="5"/>
      <c r="O203" s="87">
        <f>C173</f>
        <v>2766.4158068398692</v>
      </c>
    </row>
    <row r="204" spans="1:16" x14ac:dyDescent="0.25">
      <c r="K204" s="5" t="s">
        <v>46</v>
      </c>
      <c r="L204" s="5"/>
      <c r="M204" s="5"/>
      <c r="N204" s="5"/>
      <c r="O204" s="5"/>
    </row>
    <row r="205" spans="1:16" x14ac:dyDescent="0.25">
      <c r="K205" s="5" t="s">
        <v>1032</v>
      </c>
      <c r="L205" s="5"/>
      <c r="M205" s="5"/>
      <c r="N205" s="5"/>
      <c r="O205" s="5"/>
    </row>
    <row r="206" spans="1:16" x14ac:dyDescent="0.25">
      <c r="K206" s="5" t="s">
        <v>1033</v>
      </c>
      <c r="L206" s="5"/>
      <c r="M206" s="5"/>
      <c r="N206" s="5"/>
      <c r="O206" s="5"/>
    </row>
    <row r="207" spans="1:16" x14ac:dyDescent="0.25">
      <c r="K207" s="5" t="s">
        <v>1034</v>
      </c>
      <c r="L207" s="5"/>
      <c r="M207" s="5"/>
      <c r="N207" s="5"/>
      <c r="O207" s="5"/>
    </row>
    <row r="208" spans="1:16" x14ac:dyDescent="0.25">
      <c r="K208" s="5" t="s">
        <v>1035</v>
      </c>
      <c r="L208" s="5"/>
      <c r="M208" s="5"/>
      <c r="N208" s="5"/>
      <c r="O208" s="5"/>
    </row>
    <row r="209" spans="1:15" x14ac:dyDescent="0.25">
      <c r="B209" s="68"/>
      <c r="K209" s="5" t="s">
        <v>1036</v>
      </c>
      <c r="L209" s="5"/>
      <c r="M209" s="5"/>
      <c r="N209" s="5"/>
      <c r="O209" s="5"/>
    </row>
    <row r="210" spans="1:15" x14ac:dyDescent="0.25">
      <c r="A210" t="str">
        <f>A131</f>
        <v xml:space="preserve">Section </v>
      </c>
      <c r="B210" t="str">
        <f>B131</f>
        <v xml:space="preserve">Materials </v>
      </c>
      <c r="C210" t="str">
        <f>C131</f>
        <v>Amount</v>
      </c>
      <c r="D210" t="str">
        <f>D131</f>
        <v>Unit</v>
      </c>
      <c r="E210" t="s">
        <v>1024</v>
      </c>
      <c r="F210" t="str">
        <f>E131</f>
        <v>[Unit/ liveable m2/year]</v>
      </c>
      <c r="G210" t="str">
        <f>G131</f>
        <v>Comparsion for Mauds model[%]</v>
      </c>
      <c r="K210" s="5" t="s">
        <v>578</v>
      </c>
      <c r="L210" s="87">
        <f>C152</f>
        <v>365.27399999999994</v>
      </c>
      <c r="M210" s="5"/>
      <c r="N210" s="5"/>
      <c r="O210" s="5"/>
    </row>
    <row r="211" spans="1:15" x14ac:dyDescent="0.25">
      <c r="A211" t="str">
        <f>A132</f>
        <v xml:space="preserve">Foundation </v>
      </c>
      <c r="G211">
        <f>G132</f>
        <v>0</v>
      </c>
      <c r="K211" s="5" t="s">
        <v>1037</v>
      </c>
      <c r="L211" s="5"/>
      <c r="M211" s="5"/>
      <c r="N211" s="5"/>
      <c r="O211" s="5"/>
    </row>
    <row r="212" spans="1:15" x14ac:dyDescent="0.25">
      <c r="A212" t="str">
        <f>A133</f>
        <v xml:space="preserve">Bricks </v>
      </c>
      <c r="B212" t="str">
        <f t="shared" ref="B212:D213" si="34">B133</f>
        <v xml:space="preserve">Tile </v>
      </c>
      <c r="C212" s="69">
        <f t="shared" si="34"/>
        <v>22770.957341269841</v>
      </c>
      <c r="D212" t="str">
        <f t="shared" si="34"/>
        <v>kg</v>
      </c>
      <c r="E212">
        <f>(C212/$C$260)*100</f>
        <v>7.6209656063544742</v>
      </c>
      <c r="F212" s="69">
        <f>C212/$B$129</f>
        <v>95.241103534353911</v>
      </c>
      <c r="G212">
        <f>G133</f>
        <v>0</v>
      </c>
      <c r="K212" s="5" t="s">
        <v>1038</v>
      </c>
      <c r="L212" s="5"/>
      <c r="M212" s="5"/>
      <c r="N212" s="5"/>
      <c r="O212" s="5"/>
    </row>
    <row r="213" spans="1:15" x14ac:dyDescent="0.25">
      <c r="A213" t="str">
        <f>A134</f>
        <v xml:space="preserve">Mortar </v>
      </c>
      <c r="B213" t="str">
        <f t="shared" si="34"/>
        <v xml:space="preserve">Lime </v>
      </c>
      <c r="C213">
        <f t="shared" si="34"/>
        <v>4883.1133928571417</v>
      </c>
      <c r="D213" t="str">
        <f t="shared" si="34"/>
        <v>kg</v>
      </c>
      <c r="E213">
        <f>(C213/$C$260)*100</f>
        <v>1.6342764452615635</v>
      </c>
      <c r="F213" s="69">
        <f>C213/$B$129</f>
        <v>20.423959399203813</v>
      </c>
      <c r="G213">
        <f>G134</f>
        <v>0</v>
      </c>
      <c r="K213" s="5" t="s">
        <v>1039</v>
      </c>
      <c r="L213" s="5"/>
      <c r="M213" s="5"/>
      <c r="N213" s="5"/>
      <c r="O213" s="5"/>
    </row>
    <row r="214" spans="1:15" x14ac:dyDescent="0.25">
      <c r="E214">
        <f>SUM(E212:E213)</f>
        <v>9.2552420516160367</v>
      </c>
      <c r="K214" s="5" t="s">
        <v>1040</v>
      </c>
      <c r="L214" s="5"/>
      <c r="M214" s="5"/>
      <c r="N214" s="5"/>
      <c r="O214" s="5"/>
    </row>
    <row r="215" spans="1:15" x14ac:dyDescent="0.25">
      <c r="A215" t="str">
        <f>A136</f>
        <v>Exterior wall</v>
      </c>
      <c r="G215">
        <f>G136</f>
        <v>0</v>
      </c>
      <c r="K215" s="5" t="s">
        <v>1041</v>
      </c>
      <c r="L215" s="5"/>
      <c r="M215" s="5"/>
      <c r="N215" s="5"/>
      <c r="O215" s="5"/>
    </row>
    <row r="216" spans="1:15" x14ac:dyDescent="0.25">
      <c r="A216" t="str">
        <f>A137</f>
        <v>Bricks</v>
      </c>
      <c r="B216" t="str">
        <f t="shared" ref="B216:D217" si="35">B137</f>
        <v>Tile</v>
      </c>
      <c r="C216">
        <f t="shared" si="35"/>
        <v>66142.516576943264</v>
      </c>
      <c r="D216" t="str">
        <f t="shared" si="35"/>
        <v xml:space="preserve">kg </v>
      </c>
      <c r="E216">
        <f>(C216/$C$260)*100</f>
        <v>22.13652401153308</v>
      </c>
      <c r="F216" s="69">
        <f>C216/$B$129</f>
        <v>276.64564888144827</v>
      </c>
      <c r="G216">
        <f>G137</f>
        <v>0.41142070246285006</v>
      </c>
      <c r="K216" s="5" t="s">
        <v>1042</v>
      </c>
      <c r="L216" s="87">
        <f>C138+C142+C143+C156+C158+C184</f>
        <v>54221.093616482132</v>
      </c>
      <c r="M216" s="87">
        <f>C166</f>
        <v>6556.4031240000004</v>
      </c>
      <c r="N216" s="87">
        <f>C134</f>
        <v>4883.1133928571417</v>
      </c>
      <c r="O216" s="5"/>
    </row>
    <row r="217" spans="1:15" x14ac:dyDescent="0.25">
      <c r="A217" t="str">
        <f>A138</f>
        <v>Mortar</v>
      </c>
      <c r="B217" t="str">
        <f t="shared" si="35"/>
        <v>Lime</v>
      </c>
      <c r="C217">
        <f t="shared" si="35"/>
        <v>14183.91873883928</v>
      </c>
      <c r="D217" t="str">
        <f t="shared" si="35"/>
        <v xml:space="preserve">kg </v>
      </c>
      <c r="E217">
        <f>(C217/$C$260)*100</f>
        <v>4.7470624643484074</v>
      </c>
      <c r="F217" s="69">
        <f>C217/$B$129</f>
        <v>59.325220845252389</v>
      </c>
      <c r="G217">
        <f>G138</f>
        <v>0</v>
      </c>
      <c r="K217" s="5" t="s">
        <v>1043</v>
      </c>
      <c r="L217" s="5"/>
      <c r="M217" s="5"/>
      <c r="N217" s="5"/>
      <c r="O217" s="5"/>
    </row>
    <row r="218" spans="1:15" x14ac:dyDescent="0.25">
      <c r="E218">
        <f>SUM(E216:E217)</f>
        <v>26.883586475881486</v>
      </c>
      <c r="K218" s="5" t="s">
        <v>1044</v>
      </c>
      <c r="L218" s="5"/>
      <c r="M218" s="5"/>
      <c r="N218" s="5"/>
      <c r="O218" s="5"/>
    </row>
    <row r="219" spans="1:15" x14ac:dyDescent="0.25">
      <c r="A219" t="str">
        <f>A140</f>
        <v xml:space="preserve">Interior wall </v>
      </c>
      <c r="G219">
        <f>G140</f>
        <v>0</v>
      </c>
      <c r="K219" s="5" t="s">
        <v>1045</v>
      </c>
      <c r="L219" s="5"/>
      <c r="M219" s="5"/>
      <c r="N219" s="5"/>
      <c r="O219" s="5"/>
    </row>
    <row r="220" spans="1:15" x14ac:dyDescent="0.25">
      <c r="A220" t="str">
        <f>A141</f>
        <v>Bricks</v>
      </c>
      <c r="B220" t="str">
        <f t="shared" ref="B220:D222" si="36">B141</f>
        <v>Tile</v>
      </c>
      <c r="C220">
        <f t="shared" si="36"/>
        <v>53789.719012605041</v>
      </c>
      <c r="D220" t="str">
        <f t="shared" si="36"/>
        <v xml:space="preserve">kg </v>
      </c>
      <c r="E220">
        <f>(C220/$C$260)*100</f>
        <v>18.002299702506679</v>
      </c>
      <c r="F220" s="69">
        <f>C220/$B$129</f>
        <v>224.97921895793397</v>
      </c>
      <c r="G220">
        <f>G141</f>
        <v>0.33458364039870375</v>
      </c>
      <c r="K220" s="5" t="s">
        <v>1046</v>
      </c>
      <c r="L220" s="5"/>
      <c r="M220" s="5"/>
      <c r="N220" s="5"/>
      <c r="O220" s="5"/>
    </row>
    <row r="221" spans="1:15" x14ac:dyDescent="0.25">
      <c r="A221" t="str">
        <f>A142</f>
        <v>Mortar</v>
      </c>
      <c r="B221" t="str">
        <f t="shared" si="36"/>
        <v>Lime</v>
      </c>
      <c r="C221">
        <f t="shared" si="36"/>
        <v>11534.925535714283</v>
      </c>
      <c r="D221" t="str">
        <f t="shared" si="36"/>
        <v xml:space="preserve">kg </v>
      </c>
      <c r="E221">
        <f>(C221/$C$260)*100</f>
        <v>3.8604995592441038</v>
      </c>
      <c r="F221" s="69">
        <f>C221/$B$129</f>
        <v>48.245623613590347</v>
      </c>
      <c r="G221">
        <f>G142</f>
        <v>0</v>
      </c>
      <c r="K221" s="5" t="s">
        <v>1047</v>
      </c>
      <c r="L221" s="5"/>
      <c r="M221" s="5"/>
      <c r="N221" s="5"/>
      <c r="O221" s="5"/>
    </row>
    <row r="222" spans="1:15" x14ac:dyDescent="0.25">
      <c r="A222" t="str">
        <f>A143</f>
        <v>Mortar, Plaster</v>
      </c>
      <c r="B222" t="str">
        <f t="shared" si="36"/>
        <v>Lime</v>
      </c>
      <c r="C222">
        <f t="shared" si="36"/>
        <v>8357.1149999999998</v>
      </c>
      <c r="D222" t="str">
        <f t="shared" si="36"/>
        <v xml:space="preserve">kg </v>
      </c>
      <c r="E222">
        <f>(C222/$C$260)*100</f>
        <v>2.7969524964995336</v>
      </c>
      <c r="F222" s="69">
        <f>C222/$B$129</f>
        <v>34.954211324305952</v>
      </c>
      <c r="G222">
        <f>G143</f>
        <v>0</v>
      </c>
      <c r="K222" s="5" t="s">
        <v>1470</v>
      </c>
      <c r="L222" s="5"/>
      <c r="M222" s="87">
        <f>C168</f>
        <v>228.72937500000003</v>
      </c>
      <c r="O222" s="87"/>
    </row>
    <row r="223" spans="1:15" x14ac:dyDescent="0.25">
      <c r="E223">
        <f>SUM(E220:E222)</f>
        <v>24.659751758250316</v>
      </c>
      <c r="K223" s="5" t="s">
        <v>1049</v>
      </c>
      <c r="L223" s="5"/>
      <c r="M223" s="5"/>
      <c r="N223" s="87"/>
      <c r="O223" s="5"/>
    </row>
    <row r="224" spans="1:15" x14ac:dyDescent="0.25">
      <c r="A224" t="str">
        <f>A145</f>
        <v xml:space="preserve">Doors/windows </v>
      </c>
      <c r="G224">
        <f>G145</f>
        <v>0</v>
      </c>
      <c r="K224" s="5" t="s">
        <v>1050</v>
      </c>
      <c r="L224" s="5"/>
      <c r="M224" s="5"/>
      <c r="N224" s="5"/>
      <c r="O224" s="5"/>
    </row>
    <row r="225" spans="1:15" x14ac:dyDescent="0.25">
      <c r="A225" t="str">
        <f>A146</f>
        <v xml:space="preserve">Doors, outside </v>
      </c>
      <c r="B225" t="str">
        <f>B146</f>
        <v xml:space="preserve">Wood </v>
      </c>
      <c r="C225">
        <f>C146*B265</f>
        <v>117.30599999999998</v>
      </c>
      <c r="D225" t="s">
        <v>119</v>
      </c>
      <c r="E225">
        <f>(C225/$C$260)*100</f>
        <v>3.9259877308661456E-2</v>
      </c>
      <c r="F225" s="69">
        <f>C225/$B$129</f>
        <v>0.49064045590003652</v>
      </c>
      <c r="G225">
        <f>G146</f>
        <v>0</v>
      </c>
      <c r="K225" s="5" t="s">
        <v>1051</v>
      </c>
      <c r="L225" s="5"/>
      <c r="M225" s="5"/>
      <c r="N225" s="5"/>
      <c r="O225" s="5"/>
    </row>
    <row r="226" spans="1:15" x14ac:dyDescent="0.25">
      <c r="A226" t="str">
        <f>A148</f>
        <v xml:space="preserve">Doors, inside </v>
      </c>
      <c r="B226" t="str">
        <f>B148</f>
        <v xml:space="preserve">Wood </v>
      </c>
      <c r="C226" s="69">
        <f>C148*B266</f>
        <v>929.10099999999989</v>
      </c>
      <c r="D226" t="s">
        <v>119</v>
      </c>
      <c r="E226">
        <f>(C226/$C$260)*100</f>
        <v>0.31095077206071869</v>
      </c>
      <c r="F226" s="69">
        <f>C226/$B$129</f>
        <v>3.8860291734197725</v>
      </c>
      <c r="G226">
        <f>G148</f>
        <v>0</v>
      </c>
      <c r="K226" s="5" t="s">
        <v>1052</v>
      </c>
      <c r="L226" s="5"/>
      <c r="M226" s="5"/>
      <c r="N226" s="5"/>
      <c r="O226" s="5"/>
    </row>
    <row r="227" spans="1:15" x14ac:dyDescent="0.25">
      <c r="A227" t="str">
        <f>A150</f>
        <v>Window frame</v>
      </c>
      <c r="B227" t="str">
        <f>B150</f>
        <v xml:space="preserve">Wood </v>
      </c>
      <c r="C227">
        <f>C150*B265</f>
        <v>349.52399999999994</v>
      </c>
      <c r="D227" t="s">
        <v>119</v>
      </c>
      <c r="E227">
        <f>(C227/$C$260)*100</f>
        <v>0.11697840994009331</v>
      </c>
      <c r="F227" s="69">
        <f>C227/$B$129</f>
        <v>1.4619082971715374</v>
      </c>
      <c r="G227">
        <f>G150</f>
        <v>0</v>
      </c>
      <c r="K227" s="5" t="s">
        <v>1053</v>
      </c>
      <c r="L227" s="87">
        <f>C157+C148+C150+C146</f>
        <v>4.7906999999999993</v>
      </c>
      <c r="M227" s="87">
        <f>C176+C167+C165+C163+C162</f>
        <v>31.508956953333339</v>
      </c>
      <c r="N227" s="87"/>
      <c r="O227" s="87">
        <f>C172</f>
        <v>6.5230687077196112</v>
      </c>
    </row>
    <row r="228" spans="1:15" x14ac:dyDescent="0.25">
      <c r="A228" t="str">
        <f>A152</f>
        <v>Window glass</v>
      </c>
      <c r="B228" t="str">
        <f>B152</f>
        <v>Glass</v>
      </c>
      <c r="C228">
        <f>C152</f>
        <v>365.27399999999994</v>
      </c>
      <c r="D228" t="str">
        <f>D152</f>
        <v>kg</v>
      </c>
      <c r="E228">
        <f>(C228/$C$260)*100</f>
        <v>0.12224960721569232</v>
      </c>
      <c r="F228" s="69">
        <f>C228/$B$129</f>
        <v>1.5277837611753016</v>
      </c>
      <c r="G228">
        <f>G152</f>
        <v>0</v>
      </c>
      <c r="K228" s="5" t="s">
        <v>1054</v>
      </c>
      <c r="L228" s="5"/>
      <c r="M228" s="5"/>
      <c r="N228" s="5"/>
      <c r="O228" s="5"/>
    </row>
    <row r="229" spans="1:15" x14ac:dyDescent="0.25">
      <c r="E229">
        <f>SUM(E225:E228)</f>
        <v>0.58943866652516586</v>
      </c>
      <c r="K229" s="5" t="s">
        <v>580</v>
      </c>
      <c r="L229" s="87">
        <f>C179+C180</f>
        <v>612.64527544320902</v>
      </c>
      <c r="M229" s="5"/>
      <c r="N229" s="5"/>
      <c r="O229" s="5"/>
    </row>
    <row r="230" spans="1:15" x14ac:dyDescent="0.25">
      <c r="A230" t="str">
        <f>A154</f>
        <v>Partitions</v>
      </c>
      <c r="G230">
        <f>G154</f>
        <v>0</v>
      </c>
      <c r="K230" s="5" t="s">
        <v>1055</v>
      </c>
      <c r="L230" s="5"/>
      <c r="M230" s="5"/>
      <c r="N230" s="5"/>
      <c r="O230" s="5"/>
    </row>
    <row r="231" spans="1:15" x14ac:dyDescent="0.25">
      <c r="A231" t="str">
        <f>A155</f>
        <v>Bricks</v>
      </c>
      <c r="B231" t="str">
        <f t="shared" ref="B231:D232" si="37">B155</f>
        <v>Tile</v>
      </c>
      <c r="C231">
        <f t="shared" si="37"/>
        <v>35873.900341386558</v>
      </c>
      <c r="D231" t="str">
        <f t="shared" si="37"/>
        <v>kg</v>
      </c>
      <c r="E231">
        <f>(C231/$C$260)*100</f>
        <v>12.006247983785865</v>
      </c>
      <c r="F231" s="69">
        <f>C231/$B$129</f>
        <v>150.04506861038973</v>
      </c>
      <c r="G231">
        <f>G155</f>
        <v>0.2231433885852552</v>
      </c>
    </row>
    <row r="232" spans="1:15" x14ac:dyDescent="0.25">
      <c r="A232" t="str">
        <f>A156</f>
        <v>Mortar</v>
      </c>
      <c r="B232" t="str">
        <f t="shared" si="37"/>
        <v>Lime</v>
      </c>
      <c r="C232">
        <f t="shared" si="37"/>
        <v>7692.9713839285696</v>
      </c>
      <c r="D232" t="str">
        <f t="shared" si="37"/>
        <v>kg</v>
      </c>
      <c r="E232">
        <f>(C232/$C$260)*100</f>
        <v>2.5746774476333623</v>
      </c>
      <c r="F232" s="69">
        <f>C232/$B$129</f>
        <v>32.176384729141297</v>
      </c>
      <c r="G232">
        <f>G156</f>
        <v>0</v>
      </c>
    </row>
    <row r="233" spans="1:15" x14ac:dyDescent="0.25">
      <c r="A233" t="str">
        <f>A157</f>
        <v>Wooden Panels</v>
      </c>
      <c r="B233" t="str">
        <f>B157</f>
        <v>Wood</v>
      </c>
      <c r="C233">
        <f>C157*B266</f>
        <v>778.73</v>
      </c>
      <c r="D233" t="s">
        <v>119</v>
      </c>
      <c r="E233">
        <f>(C233/$C$260)*100</f>
        <v>0.26062472726522035</v>
      </c>
      <c r="F233" s="69">
        <f>C233/$B$129</f>
        <v>3.2570920688032623</v>
      </c>
      <c r="G233">
        <f>G157</f>
        <v>0</v>
      </c>
    </row>
    <row r="234" spans="1:15" x14ac:dyDescent="0.25">
      <c r="A234" t="str">
        <f>A158</f>
        <v>Mortar, Plaster</v>
      </c>
      <c r="B234" t="str">
        <f>B158</f>
        <v>Lime</v>
      </c>
      <c r="C234">
        <f>C158</f>
        <v>11388.516750000001</v>
      </c>
      <c r="D234" t="str">
        <f>D158</f>
        <v>kg</v>
      </c>
      <c r="E234">
        <f>(C234/$C$260)*100</f>
        <v>3.811499585124682</v>
      </c>
      <c r="F234" s="69">
        <f>C234/$B$129</f>
        <v>47.633258744183614</v>
      </c>
      <c r="G234">
        <f>G158</f>
        <v>0</v>
      </c>
    </row>
    <row r="235" spans="1:15" x14ac:dyDescent="0.25">
      <c r="E235">
        <f>SUM(E231:E234)</f>
        <v>18.653049743809131</v>
      </c>
    </row>
    <row r="236" spans="1:15" x14ac:dyDescent="0.25">
      <c r="A236" t="str">
        <f t="shared" ref="A236:B243" si="38">A161</f>
        <v>horizontal division</v>
      </c>
      <c r="G236">
        <f t="shared" ref="G236:G243" si="39">G161</f>
        <v>0</v>
      </c>
    </row>
    <row r="237" spans="1:15" x14ac:dyDescent="0.25">
      <c r="A237" t="str">
        <f t="shared" si="38"/>
        <v xml:space="preserve">Beams </v>
      </c>
      <c r="B237" t="str">
        <f t="shared" si="38"/>
        <v>Wood</v>
      </c>
      <c r="C237">
        <f>C162*B265</f>
        <v>6749.3856750000023</v>
      </c>
      <c r="D237" t="s">
        <v>119</v>
      </c>
      <c r="E237">
        <f t="shared" ref="E237:E243" si="40">(C237/$C$260)*100</f>
        <v>2.258878944890605</v>
      </c>
      <c r="F237" s="69">
        <f t="shared" ref="F237:F243" si="41">C237/$B$129</f>
        <v>28.229772259110167</v>
      </c>
      <c r="G237">
        <f t="shared" si="39"/>
        <v>0</v>
      </c>
    </row>
    <row r="238" spans="1:15" x14ac:dyDescent="0.25">
      <c r="A238" t="str">
        <f t="shared" si="38"/>
        <v>Pugging boards</v>
      </c>
      <c r="B238" t="str">
        <f t="shared" si="38"/>
        <v>Wood</v>
      </c>
      <c r="C238">
        <f>C163*B266</f>
        <v>928.08333333333348</v>
      </c>
      <c r="D238" t="s">
        <v>119</v>
      </c>
      <c r="E238">
        <f t="shared" si="40"/>
        <v>0.31061018020289011</v>
      </c>
      <c r="F238" s="69">
        <f t="shared" si="41"/>
        <v>3.881772712221816</v>
      </c>
      <c r="G238">
        <f t="shared" si="39"/>
        <v>0</v>
      </c>
    </row>
    <row r="239" spans="1:15" x14ac:dyDescent="0.25">
      <c r="A239" t="str">
        <f t="shared" si="38"/>
        <v>Pugging</v>
      </c>
      <c r="B239" t="str">
        <f t="shared" si="38"/>
        <v xml:space="preserve">Clay </v>
      </c>
      <c r="C239" s="69">
        <f>C164</f>
        <v>22792.000000000004</v>
      </c>
      <c r="D239" t="str">
        <f>D164</f>
        <v>kg</v>
      </c>
      <c r="E239">
        <f t="shared" si="40"/>
        <v>7.6280081463779528</v>
      </c>
      <c r="F239" s="69">
        <f t="shared" si="41"/>
        <v>95.329115909447395</v>
      </c>
      <c r="G239">
        <f t="shared" si="39"/>
        <v>0</v>
      </c>
    </row>
    <row r="240" spans="1:15" x14ac:dyDescent="0.25">
      <c r="A240" t="str">
        <f t="shared" si="38"/>
        <v xml:space="preserve">Ceiling </v>
      </c>
      <c r="B240" t="str">
        <f t="shared" si="38"/>
        <v>Wood</v>
      </c>
      <c r="C240">
        <f>C165*B266</f>
        <v>2211.1790928000005</v>
      </c>
      <c r="D240" t="s">
        <v>119</v>
      </c>
      <c r="E240">
        <f t="shared" si="40"/>
        <v>0.74003563237008652</v>
      </c>
      <c r="F240" s="69">
        <f t="shared" si="41"/>
        <v>9.2484094434046131</v>
      </c>
      <c r="G240">
        <f t="shared" si="39"/>
        <v>0</v>
      </c>
    </row>
    <row r="241" spans="1:7" x14ac:dyDescent="0.25">
      <c r="A241" t="str">
        <f t="shared" si="38"/>
        <v>Motar, plaster</v>
      </c>
      <c r="B241" t="str">
        <f t="shared" si="38"/>
        <v xml:space="preserve">Lime </v>
      </c>
      <c r="C241">
        <f>C166</f>
        <v>6556.4031240000004</v>
      </c>
      <c r="D241" t="str">
        <f>D166</f>
        <v xml:space="preserve">kg </v>
      </c>
      <c r="E241">
        <f t="shared" si="40"/>
        <v>2.1942917006322329</v>
      </c>
      <c r="F241" s="69">
        <f t="shared" si="41"/>
        <v>27.422609396141581</v>
      </c>
      <c r="G241">
        <f t="shared" si="39"/>
        <v>0</v>
      </c>
    </row>
    <row r="242" spans="1:7" x14ac:dyDescent="0.25">
      <c r="A242" t="str">
        <f t="shared" si="38"/>
        <v>Floor boards</v>
      </c>
      <c r="B242" t="str">
        <f t="shared" si="38"/>
        <v>Wood</v>
      </c>
      <c r="C242">
        <f>C167*B265</f>
        <v>5598.4677012000002</v>
      </c>
      <c r="D242" t="s">
        <v>119</v>
      </c>
      <c r="E242">
        <f t="shared" si="40"/>
        <v>1.8736906472440962</v>
      </c>
      <c r="F242" s="69">
        <f t="shared" si="41"/>
        <v>23.415978255659539</v>
      </c>
      <c r="G242">
        <f t="shared" si="39"/>
        <v>0</v>
      </c>
    </row>
    <row r="243" spans="1:7" x14ac:dyDescent="0.25">
      <c r="A243" t="str">
        <f t="shared" si="38"/>
        <v>Wall anchor</v>
      </c>
      <c r="B243" t="str">
        <f t="shared" si="38"/>
        <v>Iron</v>
      </c>
      <c r="C243">
        <f>C168</f>
        <v>228.72937500000003</v>
      </c>
      <c r="D243" t="str">
        <f>D168</f>
        <v>kg</v>
      </c>
      <c r="E243">
        <f t="shared" si="40"/>
        <v>7.655096243488671E-2</v>
      </c>
      <c r="F243" s="69">
        <f t="shared" si="41"/>
        <v>0.95667642599466729</v>
      </c>
      <c r="G243">
        <f t="shared" si="39"/>
        <v>0</v>
      </c>
    </row>
    <row r="244" spans="1:7" x14ac:dyDescent="0.25">
      <c r="E244">
        <f>SUM(E237:E243)</f>
        <v>15.08206621415275</v>
      </c>
    </row>
    <row r="245" spans="1:7" x14ac:dyDescent="0.25">
      <c r="A245" t="str">
        <f>A171</f>
        <v>Roof</v>
      </c>
      <c r="G245">
        <f>G171</f>
        <v>0</v>
      </c>
    </row>
    <row r="246" spans="1:7" x14ac:dyDescent="0.25">
      <c r="A246" t="str">
        <f>A172</f>
        <v>Trusses</v>
      </c>
      <c r="B246" t="str">
        <f>B172</f>
        <v>Wood</v>
      </c>
      <c r="C246">
        <f>C172*B265</f>
        <v>3718.1491634001786</v>
      </c>
      <c r="D246" t="s">
        <v>119</v>
      </c>
      <c r="E246">
        <f>(C246/$C$260)*100</f>
        <v>1.2443871581197319</v>
      </c>
      <c r="F246" s="69">
        <f>C246/$B$129</f>
        <v>15.55141596026634</v>
      </c>
      <c r="G246">
        <f>G172</f>
        <v>0</v>
      </c>
    </row>
    <row r="247" spans="1:7" x14ac:dyDescent="0.25">
      <c r="A247" t="str">
        <f>A173</f>
        <v>Tile</v>
      </c>
      <c r="B247" t="str">
        <f>B173</f>
        <v>Slate</v>
      </c>
      <c r="C247">
        <f>C173</f>
        <v>2766.4158068398692</v>
      </c>
      <c r="D247" t="str">
        <f>D173</f>
        <v>kg</v>
      </c>
      <c r="E247">
        <f>(C247/$C$260)*100</f>
        <v>0.92586180725005507</v>
      </c>
      <c r="F247" s="69">
        <f>C247/$B$129</f>
        <v>11.570725390661867</v>
      </c>
      <c r="G247">
        <f>G173</f>
        <v>0</v>
      </c>
    </row>
    <row r="248" spans="1:7" x14ac:dyDescent="0.25">
      <c r="E248">
        <f>SUM(E246:E247)</f>
        <v>2.1702489653697867</v>
      </c>
    </row>
    <row r="249" spans="1:7" x14ac:dyDescent="0.25">
      <c r="A249" t="str">
        <f>A175</f>
        <v>Stairs</v>
      </c>
      <c r="G249">
        <f>G175</f>
        <v>0</v>
      </c>
    </row>
    <row r="250" spans="1:7" x14ac:dyDescent="0.25">
      <c r="A250" t="str">
        <f>A176</f>
        <v>Staircase</v>
      </c>
      <c r="B250" t="str">
        <f>B176</f>
        <v>wood</v>
      </c>
      <c r="C250">
        <f>C176*B265</f>
        <v>1450.9042200000001</v>
      </c>
      <c r="D250" t="s">
        <v>119</v>
      </c>
      <c r="E250">
        <f>(C250/$C$260)*100</f>
        <v>0.48558745216629295</v>
      </c>
      <c r="F250" s="69">
        <f>C250/$B$129</f>
        <v>6.0685072201599839</v>
      </c>
      <c r="G250">
        <f>G176</f>
        <v>0</v>
      </c>
    </row>
    <row r="252" spans="1:7" x14ac:dyDescent="0.25">
      <c r="A252" t="str">
        <f>A178</f>
        <v>Drain pipes</v>
      </c>
      <c r="G252">
        <f>G178</f>
        <v>0</v>
      </c>
    </row>
    <row r="253" spans="1:7" x14ac:dyDescent="0.25">
      <c r="A253" t="str">
        <f>A179</f>
        <v>Drain pipe</v>
      </c>
      <c r="B253" t="str">
        <f t="shared" ref="B253:D254" si="42">B179</f>
        <v>Zinc</v>
      </c>
      <c r="C253">
        <f t="shared" si="42"/>
        <v>427.43900976716969</v>
      </c>
      <c r="D253" t="str">
        <f t="shared" si="42"/>
        <v>kg</v>
      </c>
      <c r="E253">
        <f>(C253/$C$260)*100</f>
        <v>0.14305494246155209</v>
      </c>
      <c r="F253" s="69">
        <f>C253/$B$129</f>
        <v>1.7877932128077365</v>
      </c>
      <c r="G253">
        <f>G179</f>
        <v>0</v>
      </c>
    </row>
    <row r="254" spans="1:7" x14ac:dyDescent="0.25">
      <c r="A254" t="str">
        <f>A180</f>
        <v>Gutter</v>
      </c>
      <c r="B254" t="str">
        <f t="shared" si="42"/>
        <v>Zinc</v>
      </c>
      <c r="C254">
        <f t="shared" si="42"/>
        <v>185.20626567603932</v>
      </c>
      <c r="D254" t="str">
        <f t="shared" si="42"/>
        <v>kg</v>
      </c>
      <c r="E254">
        <f>(C254/$C$260)*100</f>
        <v>6.1984683368597186E-2</v>
      </c>
      <c r="F254" s="69">
        <f>C254/$B$129</f>
        <v>0.77463801192466908</v>
      </c>
      <c r="G254">
        <f>G180</f>
        <v>0</v>
      </c>
    </row>
    <row r="255" spans="1:7" x14ac:dyDescent="0.25">
      <c r="E255">
        <f>SUM(E253:E254)</f>
        <v>0.20503962583014929</v>
      </c>
    </row>
    <row r="256" spans="1:7" x14ac:dyDescent="0.25">
      <c r="A256" t="str">
        <f>A182</f>
        <v>Chimney</v>
      </c>
      <c r="G256">
        <f>G182</f>
        <v>0</v>
      </c>
    </row>
    <row r="257" spans="1:7" x14ac:dyDescent="0.25">
      <c r="A257" t="str">
        <f>A183</f>
        <v>Brick</v>
      </c>
      <c r="B257" t="str">
        <f t="shared" ref="B257:D258" si="43">B183</f>
        <v>Tile</v>
      </c>
      <c r="C257">
        <f t="shared" si="43"/>
        <v>4960</v>
      </c>
      <c r="D257" t="str">
        <f t="shared" si="43"/>
        <v>kg</v>
      </c>
      <c r="E257">
        <f>(C257/$C$260)*100</f>
        <v>1.6600087928235627</v>
      </c>
      <c r="F257" s="69">
        <f>C257/$B$129</f>
        <v>20.745542949756889</v>
      </c>
      <c r="G257">
        <f>G183</f>
        <v>0</v>
      </c>
    </row>
    <row r="258" spans="1:7" x14ac:dyDescent="0.25">
      <c r="A258" t="str">
        <f>A184</f>
        <v>Mortar</v>
      </c>
      <c r="B258" t="str">
        <f t="shared" si="43"/>
        <v>Lime</v>
      </c>
      <c r="C258">
        <f t="shared" si="43"/>
        <v>1063.6462079999997</v>
      </c>
      <c r="D258" t="str">
        <f t="shared" si="43"/>
        <v>kg</v>
      </c>
      <c r="E258">
        <f>(C258/$C$260)*100</f>
        <v>0.35598025357529023</v>
      </c>
      <c r="F258" s="69">
        <f>C258/$B$129</f>
        <v>4.4487738087520246</v>
      </c>
      <c r="G258">
        <f>G184</f>
        <v>0</v>
      </c>
    </row>
    <row r="259" spans="1:7" x14ac:dyDescent="0.25">
      <c r="E259">
        <f>SUM(E257:E258)</f>
        <v>2.015989046398853</v>
      </c>
    </row>
    <row r="260" spans="1:7" x14ac:dyDescent="0.25">
      <c r="A260" t="s">
        <v>597</v>
      </c>
      <c r="C260">
        <f>SUM(C212:C258)</f>
        <v>298793.59804856067</v>
      </c>
      <c r="D260" t="s">
        <v>119</v>
      </c>
      <c r="G260" t="s">
        <v>597</v>
      </c>
    </row>
    <row r="264" spans="1:7" x14ac:dyDescent="0.25">
      <c r="A264" t="s">
        <v>1056</v>
      </c>
      <c r="G264" t="s">
        <v>1056</v>
      </c>
    </row>
    <row r="265" spans="1:7" x14ac:dyDescent="0.25">
      <c r="A265" t="s">
        <v>1057</v>
      </c>
      <c r="B265">
        <v>570</v>
      </c>
      <c r="C265" t="s">
        <v>35</v>
      </c>
      <c r="G265" t="s">
        <v>1057</v>
      </c>
    </row>
    <row r="266" spans="1:7" x14ac:dyDescent="0.25">
      <c r="A266" t="s">
        <v>1058</v>
      </c>
      <c r="B266">
        <v>430</v>
      </c>
      <c r="C266" t="s">
        <v>35</v>
      </c>
      <c r="G266" t="s">
        <v>1058</v>
      </c>
    </row>
    <row r="269" spans="1:7" x14ac:dyDescent="0.25">
      <c r="A269" t="s">
        <v>1471</v>
      </c>
      <c r="B269">
        <f>AC66+AF24+AI27</f>
        <v>218.57249999999999</v>
      </c>
      <c r="C269" t="s">
        <v>33</v>
      </c>
      <c r="G269" t="s">
        <v>1471</v>
      </c>
    </row>
    <row r="270" spans="1:7" x14ac:dyDescent="0.25">
      <c r="A270" t="s">
        <v>1472</v>
      </c>
      <c r="B270">
        <f>B269*AI77</f>
        <v>21.857250000000001</v>
      </c>
      <c r="C270" t="s">
        <v>21</v>
      </c>
      <c r="G270" t="s">
        <v>1472</v>
      </c>
    </row>
    <row r="271" spans="1:7" x14ac:dyDescent="0.25">
      <c r="A271" t="s">
        <v>227</v>
      </c>
      <c r="B271">
        <f>B270*B266</f>
        <v>9398.6175000000003</v>
      </c>
      <c r="C271" t="s">
        <v>119</v>
      </c>
      <c r="G271" t="s">
        <v>227</v>
      </c>
    </row>
  </sheetData>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FAA0AF-3873-460C-8FB0-DCB6B444956D}">
  <dimension ref="A1"/>
  <sheetViews>
    <sheetView workbookViewId="0">
      <selection activeCell="H26" sqref="H26"/>
    </sheetView>
  </sheetViews>
  <sheetFormatPr defaultRowHeight="15" x14ac:dyDescent="0.25"/>
  <sheetData>
    <row r="1" spans="1:1" x14ac:dyDescent="0.25">
      <c r="A1" t="s">
        <v>0</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DA2069-EE7B-4E87-8231-848CD0DB90D2}">
  <dimension ref="A1"/>
  <sheetViews>
    <sheetView workbookViewId="0">
      <selection activeCell="A2" sqref="A2"/>
    </sheetView>
  </sheetViews>
  <sheetFormatPr defaultRowHeight="15" x14ac:dyDescent="0.25"/>
  <sheetData>
    <row r="1" spans="1:1" x14ac:dyDescent="0.25">
      <c r="A1" t="s">
        <v>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service life</vt:lpstr>
      <vt:lpstr>house 1860</vt:lpstr>
      <vt:lpstr>house 1890</vt:lpstr>
      <vt:lpstr>house 1920</vt:lpstr>
      <vt:lpstr>house 1970</vt:lpstr>
      <vt:lpstr>house 2010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Simon Bruhn</dc:creator>
  <cp:lastModifiedBy>Simon Bruhn</cp:lastModifiedBy>
  <dcterms:created xsi:type="dcterms:W3CDTF">2024-02-26T15:24:26Z</dcterms:created>
  <dcterms:modified xsi:type="dcterms:W3CDTF">2024-02-27T14:11:43Z</dcterms:modified>
</cp:coreProperties>
</file>